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oioe.sharepoint.com/sites/comercial3/Documentos Compartilhados/9 - GERAL/Modelos de Propostas/"/>
    </mc:Choice>
  </mc:AlternateContent>
  <xr:revisionPtr revIDLastSave="1493" documentId="13_ncr:1_{BA5D6662-0040-4DBD-98D1-402FE5B45AF0}" xr6:coauthVersionLast="47" xr6:coauthVersionMax="47" xr10:uidLastSave="{57D7237A-CCDC-423D-816C-52814D514066}"/>
  <bookViews>
    <workbookView xWindow="-28920" yWindow="-1830" windowWidth="29040" windowHeight="15720" tabRatio="706" firstSheet="2" activeTab="2" xr2:uid="{B8CECB5E-386A-4A0C-8942-5EE470AE3895}"/>
  </bookViews>
  <sheets>
    <sheet name="Valores_Dados" sheetId="8" state="hidden" r:id="rId1"/>
    <sheet name="Tabela Dados" sheetId="2" state="hidden" r:id="rId2"/>
    <sheet name="Simulador" sheetId="10" r:id="rId3"/>
    <sheet name="Planilha2" sheetId="11" r:id="rId4"/>
    <sheet name="Tabela de preços por Item" sheetId="4" r:id="rId5"/>
    <sheet name="Indenização" sheetId="5" state="hidden" r:id="rId6"/>
    <sheet name="Responsabilidades" sheetId="6" state="hidden" r:id="rId7"/>
    <sheet name="Planilha1" sheetId="7" state="hidden" r:id="rId8"/>
  </sheets>
  <definedNames>
    <definedName name="_xlnm._FilterDatabase" localSheetId="5" hidden="1">Indenização!$A$1:$F$85</definedName>
    <definedName name="_xlnm._FilterDatabase" localSheetId="2" hidden="1">Simulador!$A$84:$AI$117</definedName>
    <definedName name="_xlnm.Print_Area" localSheetId="4">'Tabela de preços por Item'!$M$16:$U$296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0" i="10" l="1"/>
  <c r="J86" i="10"/>
  <c r="J87" i="10"/>
  <c r="J88" i="10"/>
  <c r="J89" i="10"/>
  <c r="L20" i="10"/>
  <c r="J20" i="10"/>
  <c r="F20" i="10"/>
  <c r="K23" i="10"/>
  <c r="I23" i="10"/>
  <c r="L366" i="4"/>
  <c r="G17" i="10"/>
  <c r="E82" i="10"/>
  <c r="D82" i="10"/>
  <c r="H17" i="10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0" i="11"/>
  <c r="K69" i="11"/>
  <c r="K68" i="11"/>
  <c r="K67" i="11"/>
  <c r="K66" i="11"/>
  <c r="K76" i="11"/>
  <c r="K75" i="11"/>
  <c r="K74" i="11"/>
  <c r="K73" i="11"/>
  <c r="K72" i="11"/>
  <c r="K71" i="11"/>
  <c r="K65" i="11"/>
  <c r="K53" i="11"/>
  <c r="K54" i="11"/>
  <c r="K61" i="11"/>
  <c r="K64" i="11" s="1"/>
  <c r="K60" i="11"/>
  <c r="K59" i="11"/>
  <c r="K58" i="11"/>
  <c r="K57" i="11"/>
  <c r="K56" i="11"/>
  <c r="K55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K5" i="11"/>
  <c r="K4" i="11"/>
  <c r="K3" i="11"/>
  <c r="K2" i="11"/>
  <c r="F3" i="10"/>
  <c r="N3" i="10" s="1"/>
  <c r="O3" i="10" s="1"/>
  <c r="B6" i="10"/>
  <c r="F5" i="10" s="1"/>
  <c r="N5" i="10" s="1"/>
  <c r="Q5" i="10" l="1"/>
  <c r="P5" i="10"/>
  <c r="O5" i="10"/>
  <c r="Q3" i="10"/>
  <c r="P3" i="10"/>
  <c r="K63" i="11"/>
  <c r="T10" i="4"/>
  <c r="U10" i="4"/>
  <c r="Q10" i="4"/>
  <c r="Q9" i="4"/>
  <c r="Q8" i="4"/>
  <c r="Q7" i="4"/>
  <c r="Q6" i="4"/>
  <c r="Q5" i="4"/>
  <c r="Q4" i="4"/>
  <c r="O457" i="4"/>
  <c r="O456" i="4"/>
  <c r="O455" i="4"/>
  <c r="O454" i="4"/>
  <c r="O453" i="4"/>
  <c r="O452" i="4"/>
  <c r="O451" i="4"/>
  <c r="O450" i="4"/>
  <c r="O449" i="4"/>
  <c r="O448" i="4"/>
  <c r="O447" i="4"/>
  <c r="O446" i="4"/>
  <c r="O445" i="4"/>
  <c r="O444" i="4"/>
  <c r="O443" i="4"/>
  <c r="O442" i="4"/>
  <c r="O441" i="4"/>
  <c r="O440" i="4"/>
  <c r="O439" i="4"/>
  <c r="O438" i="4"/>
  <c r="O437" i="4"/>
  <c r="O436" i="4"/>
  <c r="O435" i="4"/>
  <c r="O434" i="4"/>
  <c r="O433" i="4"/>
  <c r="O432" i="4"/>
  <c r="O431" i="4"/>
  <c r="O430" i="4"/>
  <c r="O429" i="4"/>
  <c r="O428" i="4"/>
  <c r="O427" i="4"/>
  <c r="O426" i="4"/>
  <c r="O425" i="4"/>
  <c r="O424" i="4"/>
  <c r="O423" i="4"/>
  <c r="O422" i="4"/>
  <c r="O421" i="4"/>
  <c r="O420" i="4"/>
  <c r="O419" i="4"/>
  <c r="O418" i="4"/>
  <c r="O417" i="4"/>
  <c r="O416" i="4"/>
  <c r="O415" i="4"/>
  <c r="O414" i="4"/>
  <c r="O413" i="4"/>
  <c r="O412" i="4"/>
  <c r="O411" i="4"/>
  <c r="O410" i="4"/>
  <c r="O409" i="4"/>
  <c r="O408" i="4"/>
  <c r="O407" i="4"/>
  <c r="O406" i="4"/>
  <c r="O405" i="4"/>
  <c r="O404" i="4"/>
  <c r="O403" i="4"/>
  <c r="O402" i="4"/>
  <c r="O401" i="4"/>
  <c r="O400" i="4"/>
  <c r="O399" i="4"/>
  <c r="O398" i="4"/>
  <c r="D394" i="4"/>
  <c r="D393" i="4"/>
  <c r="E394" i="4" s="1"/>
  <c r="E393" i="4"/>
  <c r="F393" i="4" s="1"/>
  <c r="M70" i="2"/>
  <c r="N70" i="2" s="1"/>
  <c r="M69" i="2"/>
  <c r="N69" i="2" s="1"/>
  <c r="M68" i="2"/>
  <c r="N68" i="2" s="1"/>
  <c r="M67" i="2"/>
  <c r="N67" i="2" s="1"/>
  <c r="M66" i="2"/>
  <c r="N66" i="2" s="1"/>
  <c r="M64" i="2"/>
  <c r="N64" i="2" s="1"/>
  <c r="M63" i="2"/>
  <c r="N63" i="2" s="1"/>
  <c r="M62" i="2"/>
  <c r="N62" i="2" s="1"/>
  <c r="M61" i="2"/>
  <c r="N61" i="2" s="1"/>
  <c r="M60" i="2"/>
  <c r="N60" i="2" s="1"/>
  <c r="M58" i="2"/>
  <c r="N58" i="2" s="1"/>
  <c r="M57" i="2"/>
  <c r="N57" i="2" s="1"/>
  <c r="M56" i="2"/>
  <c r="N56" i="2" s="1"/>
  <c r="M55" i="2"/>
  <c r="N55" i="2" s="1"/>
  <c r="M54" i="2"/>
  <c r="N54" i="2" s="1"/>
  <c r="M52" i="2"/>
  <c r="N52" i="2" s="1"/>
  <c r="M51" i="2"/>
  <c r="N51" i="2" s="1"/>
  <c r="M50" i="2"/>
  <c r="N50" i="2" s="1"/>
  <c r="M49" i="2"/>
  <c r="N49" i="2" s="1"/>
  <c r="M48" i="2"/>
  <c r="N48" i="2" s="1"/>
  <c r="M46" i="2"/>
  <c r="H4" i="2"/>
  <c r="H486" i="4"/>
  <c r="H474" i="4"/>
  <c r="H473" i="4" s="1"/>
  <c r="H467" i="4"/>
  <c r="H462" i="4"/>
  <c r="H468" i="4" s="1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36" i="4"/>
  <c r="H430" i="4"/>
  <c r="H429" i="4"/>
  <c r="H398" i="4"/>
  <c r="H421" i="4"/>
  <c r="J106" i="10" l="1"/>
  <c r="J105" i="10"/>
  <c r="J104" i="10"/>
  <c r="J103" i="10"/>
  <c r="J102" i="10"/>
  <c r="J101" i="10"/>
  <c r="J100" i="10"/>
  <c r="J99" i="10"/>
  <c r="J98" i="10"/>
  <c r="J97" i="10"/>
  <c r="J96" i="10"/>
  <c r="J95" i="10"/>
  <c r="J94" i="10"/>
  <c r="J93" i="10"/>
  <c r="J92" i="10"/>
  <c r="J91" i="10"/>
  <c r="N46" i="2" l="1"/>
  <c r="M45" i="2"/>
  <c r="N45" i="2" s="1"/>
  <c r="M44" i="2"/>
  <c r="N44" i="2" s="1"/>
  <c r="M43" i="2"/>
  <c r="N43" i="2" s="1"/>
  <c r="M42" i="2"/>
  <c r="N42" i="2" s="1"/>
  <c r="M38" i="2"/>
  <c r="N38" i="2" s="1"/>
  <c r="M37" i="2"/>
  <c r="N37" i="2" s="1"/>
  <c r="M36" i="2"/>
  <c r="N36" i="2" s="1"/>
  <c r="M35" i="2"/>
  <c r="N35" i="2" s="1"/>
  <c r="M34" i="2"/>
  <c r="N34" i="2" s="1"/>
  <c r="M32" i="2"/>
  <c r="N32" i="2" s="1"/>
  <c r="M31" i="2"/>
  <c r="N31" i="2" s="1"/>
  <c r="M30" i="2"/>
  <c r="N30" i="2" s="1"/>
  <c r="M29" i="2"/>
  <c r="N29" i="2" s="1"/>
  <c r="M28" i="2"/>
  <c r="N28" i="2" s="1"/>
  <c r="M26" i="2"/>
  <c r="N26" i="2" s="1"/>
  <c r="M25" i="2"/>
  <c r="N25" i="2" s="1"/>
  <c r="M24" i="2"/>
  <c r="N24" i="2" s="1"/>
  <c r="M23" i="2"/>
  <c r="N23" i="2" s="1"/>
  <c r="M22" i="2"/>
  <c r="N22" i="2" s="1"/>
  <c r="M20" i="2"/>
  <c r="N20" i="2" s="1"/>
  <c r="M19" i="2"/>
  <c r="N19" i="2" s="1"/>
  <c r="M18" i="2"/>
  <c r="N18" i="2" s="1"/>
  <c r="M17" i="2"/>
  <c r="N17" i="2" s="1"/>
  <c r="M16" i="2"/>
  <c r="N16" i="2" s="1"/>
  <c r="M14" i="2"/>
  <c r="N14" i="2" s="1"/>
  <c r="M13" i="2"/>
  <c r="N13" i="2" s="1"/>
  <c r="M12" i="2"/>
  <c r="N12" i="2" s="1"/>
  <c r="M11" i="2"/>
  <c r="N11" i="2" s="1"/>
  <c r="M10" i="2"/>
  <c r="N10" i="2" s="1"/>
  <c r="L11" i="2"/>
  <c r="L12" i="2"/>
  <c r="L13" i="2"/>
  <c r="L14" i="2"/>
  <c r="H6" i="2"/>
  <c r="H5" i="2"/>
  <c r="H3" i="2"/>
  <c r="F303" i="4" l="1"/>
  <c r="H303" i="4" s="1"/>
  <c r="C303" i="4"/>
  <c r="E303" i="4" s="1"/>
  <c r="B303" i="4"/>
  <c r="F301" i="4"/>
  <c r="H301" i="4" s="1"/>
  <c r="C301" i="4"/>
  <c r="E301" i="4" s="1"/>
  <c r="B301" i="4"/>
  <c r="F299" i="4"/>
  <c r="H299" i="4" s="1"/>
  <c r="C299" i="4"/>
  <c r="E299" i="4" s="1"/>
  <c r="B299" i="4"/>
  <c r="F297" i="4"/>
  <c r="H297" i="4" s="1"/>
  <c r="C297" i="4"/>
  <c r="E297" i="4" s="1"/>
  <c r="B297" i="4"/>
  <c r="D67" i="10" l="1"/>
  <c r="D69" i="10"/>
  <c r="F384" i="4" l="1"/>
  <c r="F372" i="4"/>
  <c r="F366" i="4"/>
  <c r="F365" i="4"/>
  <c r="F364" i="4"/>
  <c r="F363" i="4"/>
  <c r="F362" i="4"/>
  <c r="F361" i="4"/>
  <c r="F360" i="4"/>
  <c r="F357" i="4"/>
  <c r="F356" i="4"/>
  <c r="F355" i="4"/>
  <c r="F354" i="4"/>
  <c r="T9" i="4" s="1"/>
  <c r="F353" i="4"/>
  <c r="F352" i="4"/>
  <c r="T8" i="4" s="1"/>
  <c r="F351" i="4"/>
  <c r="T7" i="4" s="1"/>
  <c r="F350" i="4"/>
  <c r="T6" i="4" s="1"/>
  <c r="F349" i="4"/>
  <c r="F348" i="4"/>
  <c r="F347" i="4"/>
  <c r="F346" i="4"/>
  <c r="T5" i="4" s="1"/>
  <c r="F345" i="4"/>
  <c r="T4" i="4" s="1"/>
  <c r="F344" i="4"/>
  <c r="F343" i="4"/>
  <c r="F342" i="4"/>
  <c r="F341" i="4"/>
  <c r="F340" i="4"/>
  <c r="F339" i="4"/>
  <c r="F338" i="4"/>
  <c r="F337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24" i="4"/>
  <c r="F323" i="4"/>
  <c r="F322" i="4"/>
  <c r="F321" i="4"/>
  <c r="F320" i="4"/>
  <c r="F319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2" i="4"/>
  <c r="F300" i="4"/>
  <c r="F298" i="4"/>
  <c r="T3" i="4" s="1"/>
  <c r="F296" i="4"/>
  <c r="T11" i="4" l="1"/>
  <c r="T12" i="4" s="1"/>
  <c r="F3" i="4"/>
  <c r="B68" i="10"/>
  <c r="B66" i="10"/>
  <c r="J116" i="10" l="1"/>
  <c r="J115" i="10"/>
  <c r="J114" i="10"/>
  <c r="J113" i="10"/>
  <c r="J112" i="10"/>
  <c r="J111" i="10"/>
  <c r="I106" i="10"/>
  <c r="I105" i="10"/>
  <c r="I104" i="10"/>
  <c r="I103" i="10"/>
  <c r="I102" i="10"/>
  <c r="I101" i="10"/>
  <c r="I99" i="10"/>
  <c r="I98" i="10"/>
  <c r="I97" i="10"/>
  <c r="I96" i="10"/>
  <c r="I95" i="10"/>
  <c r="I94" i="10"/>
  <c r="I93" i="10"/>
  <c r="I92" i="10"/>
  <c r="I91" i="10"/>
  <c r="I90" i="10"/>
  <c r="J90" i="10" s="1"/>
  <c r="I89" i="10"/>
  <c r="I88" i="10"/>
  <c r="I87" i="10"/>
  <c r="I86" i="10"/>
  <c r="I85" i="10"/>
  <c r="J85" i="10" s="1"/>
  <c r="I100" i="10"/>
  <c r="K106" i="10"/>
  <c r="M106" i="10"/>
  <c r="K105" i="10"/>
  <c r="M105" i="10"/>
  <c r="D68" i="10"/>
  <c r="E68" i="10" s="1"/>
  <c r="G68" i="10" s="1"/>
  <c r="H68" i="10" s="1"/>
  <c r="L106" i="10"/>
  <c r="D66" i="10"/>
  <c r="E66" i="10" s="1"/>
  <c r="G66" i="10" s="1"/>
  <c r="H66" i="10" s="1"/>
  <c r="L105" i="10"/>
  <c r="F69" i="10"/>
  <c r="A69" i="10"/>
  <c r="F67" i="10"/>
  <c r="E67" i="10"/>
  <c r="G67" i="10" s="1"/>
  <c r="A67" i="10"/>
  <c r="J109" i="10" l="1"/>
  <c r="J107" i="10"/>
  <c r="H67" i="10"/>
  <c r="B16" i="10"/>
  <c r="B70" i="10"/>
  <c r="C384" i="4"/>
  <c r="E384" i="4" s="1"/>
  <c r="B384" i="4"/>
  <c r="C383" i="4"/>
  <c r="E383" i="4" s="1"/>
  <c r="B383" i="4"/>
  <c r="C382" i="4"/>
  <c r="E382" i="4" s="1"/>
  <c r="B382" i="4"/>
  <c r="C381" i="4"/>
  <c r="E381" i="4" s="1"/>
  <c r="B381" i="4"/>
  <c r="C380" i="4"/>
  <c r="E380" i="4" s="1"/>
  <c r="B380" i="4"/>
  <c r="C379" i="4"/>
  <c r="E379" i="4" s="1"/>
  <c r="B379" i="4"/>
  <c r="C378" i="4"/>
  <c r="E378" i="4" s="1"/>
  <c r="B378" i="4"/>
  <c r="C377" i="4"/>
  <c r="E377" i="4" s="1"/>
  <c r="B377" i="4"/>
  <c r="C376" i="4"/>
  <c r="E376" i="4" s="1"/>
  <c r="B376" i="4"/>
  <c r="C375" i="4"/>
  <c r="E375" i="4" s="1"/>
  <c r="B375" i="4"/>
  <c r="C374" i="4"/>
  <c r="E374" i="4" s="1"/>
  <c r="B374" i="4"/>
  <c r="C373" i="4"/>
  <c r="E373" i="4" s="1"/>
  <c r="B373" i="4"/>
  <c r="C372" i="4"/>
  <c r="E372" i="4" s="1"/>
  <c r="B372" i="4"/>
  <c r="C371" i="4"/>
  <c r="E371" i="4" s="1"/>
  <c r="B371" i="4"/>
  <c r="B370" i="4"/>
  <c r="B369" i="4"/>
  <c r="B368" i="4"/>
  <c r="B367" i="4"/>
  <c r="B366" i="4"/>
  <c r="C365" i="4"/>
  <c r="E365" i="4" s="1"/>
  <c r="B365" i="4"/>
  <c r="C364" i="4"/>
  <c r="E364" i="4" s="1"/>
  <c r="B364" i="4"/>
  <c r="C363" i="4"/>
  <c r="E363" i="4" s="1"/>
  <c r="B363" i="4"/>
  <c r="C362" i="4"/>
  <c r="E362" i="4" s="1"/>
  <c r="B362" i="4"/>
  <c r="C361" i="4"/>
  <c r="E361" i="4" s="1"/>
  <c r="B361" i="4"/>
  <c r="C360" i="4"/>
  <c r="E360" i="4" s="1"/>
  <c r="B360" i="4"/>
  <c r="C359" i="4"/>
  <c r="E359" i="4" s="1"/>
  <c r="B359" i="4"/>
  <c r="C358" i="4"/>
  <c r="E358" i="4" s="1"/>
  <c r="B358" i="4"/>
  <c r="C357" i="4"/>
  <c r="E357" i="4" s="1"/>
  <c r="B357" i="4"/>
  <c r="C356" i="4"/>
  <c r="E356" i="4" s="1"/>
  <c r="B356" i="4"/>
  <c r="C355" i="4"/>
  <c r="E355" i="4" s="1"/>
  <c r="B355" i="4"/>
  <c r="C354" i="4"/>
  <c r="E354" i="4" s="1"/>
  <c r="B354" i="4"/>
  <c r="C353" i="4"/>
  <c r="E353" i="4" s="1"/>
  <c r="B353" i="4"/>
  <c r="C352" i="4"/>
  <c r="E352" i="4" s="1"/>
  <c r="B352" i="4"/>
  <c r="C351" i="4"/>
  <c r="E351" i="4" s="1"/>
  <c r="B351" i="4"/>
  <c r="C350" i="4"/>
  <c r="E350" i="4" s="1"/>
  <c r="B350" i="4"/>
  <c r="C349" i="4"/>
  <c r="E349" i="4" s="1"/>
  <c r="B349" i="4"/>
  <c r="C348" i="4"/>
  <c r="E348" i="4" s="1"/>
  <c r="B348" i="4"/>
  <c r="C347" i="4"/>
  <c r="E347" i="4" s="1"/>
  <c r="B347" i="4"/>
  <c r="C346" i="4"/>
  <c r="E346" i="4" s="1"/>
  <c r="B346" i="4"/>
  <c r="C345" i="4"/>
  <c r="E345" i="4" s="1"/>
  <c r="B345" i="4"/>
  <c r="C344" i="4"/>
  <c r="E344" i="4" s="1"/>
  <c r="B344" i="4"/>
  <c r="C343" i="4"/>
  <c r="E343" i="4" s="1"/>
  <c r="B343" i="4"/>
  <c r="C342" i="4"/>
  <c r="E342" i="4" s="1"/>
  <c r="B342" i="4"/>
  <c r="C341" i="4"/>
  <c r="E341" i="4" s="1"/>
  <c r="B341" i="4"/>
  <c r="C340" i="4"/>
  <c r="E340" i="4" s="1"/>
  <c r="B340" i="4"/>
  <c r="C339" i="4"/>
  <c r="E339" i="4" s="1"/>
  <c r="B339" i="4"/>
  <c r="C338" i="4"/>
  <c r="E338" i="4" s="1"/>
  <c r="B338" i="4"/>
  <c r="C337" i="4"/>
  <c r="E337" i="4" s="1"/>
  <c r="B337" i="4"/>
  <c r="C336" i="4"/>
  <c r="E336" i="4" s="1"/>
  <c r="B336" i="4"/>
  <c r="C335" i="4"/>
  <c r="E335" i="4" s="1"/>
  <c r="B335" i="4"/>
  <c r="C334" i="4"/>
  <c r="E334" i="4" s="1"/>
  <c r="B334" i="4"/>
  <c r="C333" i="4"/>
  <c r="E333" i="4" s="1"/>
  <c r="B333" i="4"/>
  <c r="C332" i="4"/>
  <c r="E332" i="4" s="1"/>
  <c r="B332" i="4"/>
  <c r="C331" i="4"/>
  <c r="E331" i="4" s="1"/>
  <c r="B331" i="4"/>
  <c r="C330" i="4"/>
  <c r="E330" i="4" s="1"/>
  <c r="B330" i="4"/>
  <c r="C329" i="4"/>
  <c r="E329" i="4" s="1"/>
  <c r="B329" i="4"/>
  <c r="C328" i="4"/>
  <c r="E328" i="4" s="1"/>
  <c r="B328" i="4"/>
  <c r="C327" i="4"/>
  <c r="E327" i="4" s="1"/>
  <c r="B327" i="4"/>
  <c r="C326" i="4"/>
  <c r="E326" i="4" s="1"/>
  <c r="B326" i="4"/>
  <c r="C325" i="4"/>
  <c r="E325" i="4" s="1"/>
  <c r="B325" i="4"/>
  <c r="C324" i="4"/>
  <c r="E324" i="4" s="1"/>
  <c r="B324" i="4"/>
  <c r="C323" i="4"/>
  <c r="E323" i="4" s="1"/>
  <c r="B323" i="4"/>
  <c r="C322" i="4"/>
  <c r="E322" i="4" s="1"/>
  <c r="B322" i="4"/>
  <c r="C321" i="4"/>
  <c r="E321" i="4" s="1"/>
  <c r="B321" i="4"/>
  <c r="C320" i="4"/>
  <c r="E320" i="4" s="1"/>
  <c r="B320" i="4"/>
  <c r="C319" i="4"/>
  <c r="E319" i="4" s="1"/>
  <c r="B319" i="4"/>
  <c r="C318" i="4"/>
  <c r="E318" i="4" s="1"/>
  <c r="B318" i="4"/>
  <c r="C317" i="4"/>
  <c r="E317" i="4" s="1"/>
  <c r="B317" i="4"/>
  <c r="C316" i="4"/>
  <c r="E316" i="4" s="1"/>
  <c r="B316" i="4"/>
  <c r="C315" i="4"/>
  <c r="E315" i="4" s="1"/>
  <c r="B315" i="4"/>
  <c r="C314" i="4"/>
  <c r="E314" i="4" s="1"/>
  <c r="B314" i="4"/>
  <c r="C313" i="4"/>
  <c r="E313" i="4" s="1"/>
  <c r="B313" i="4"/>
  <c r="C312" i="4"/>
  <c r="E312" i="4" s="1"/>
  <c r="B312" i="4"/>
  <c r="C311" i="4"/>
  <c r="E311" i="4" s="1"/>
  <c r="B311" i="4"/>
  <c r="C310" i="4"/>
  <c r="E310" i="4" s="1"/>
  <c r="B310" i="4"/>
  <c r="C309" i="4"/>
  <c r="E309" i="4" s="1"/>
  <c r="B309" i="4"/>
  <c r="C308" i="4"/>
  <c r="E308" i="4" s="1"/>
  <c r="B308" i="4"/>
  <c r="C307" i="4"/>
  <c r="E307" i="4" s="1"/>
  <c r="B307" i="4"/>
  <c r="C306" i="4"/>
  <c r="E306" i="4" s="1"/>
  <c r="B306" i="4"/>
  <c r="C305" i="4"/>
  <c r="E305" i="4" s="1"/>
  <c r="B305" i="4"/>
  <c r="C304" i="4"/>
  <c r="E304" i="4" s="1"/>
  <c r="B304" i="4"/>
  <c r="C302" i="4"/>
  <c r="E302" i="4" s="1"/>
  <c r="B302" i="4"/>
  <c r="C300" i="4"/>
  <c r="E300" i="4" s="1"/>
  <c r="B300" i="4"/>
  <c r="C298" i="4"/>
  <c r="E298" i="4" s="1"/>
  <c r="B298" i="4"/>
  <c r="C296" i="4"/>
  <c r="B296" i="4"/>
  <c r="D281" i="4"/>
  <c r="D270" i="4"/>
  <c r="D259" i="4"/>
  <c r="D248" i="4"/>
  <c r="D237" i="4"/>
  <c r="G226" i="4"/>
  <c r="G227" i="4" s="1"/>
  <c r="F226" i="4"/>
  <c r="E226" i="4"/>
  <c r="D226" i="4"/>
  <c r="C226" i="4"/>
  <c r="B226" i="4"/>
  <c r="E227" i="4" s="1"/>
  <c r="G215" i="4"/>
  <c r="F215" i="4"/>
  <c r="E215" i="4"/>
  <c r="D215" i="4"/>
  <c r="C215" i="4"/>
  <c r="B215" i="4"/>
  <c r="G204" i="4"/>
  <c r="F204" i="4"/>
  <c r="E204" i="4"/>
  <c r="D204" i="4"/>
  <c r="C204" i="4"/>
  <c r="B204" i="4"/>
  <c r="G193" i="4"/>
  <c r="F193" i="4"/>
  <c r="E193" i="4"/>
  <c r="D193" i="4"/>
  <c r="C193" i="4"/>
  <c r="B193" i="4"/>
  <c r="G182" i="4"/>
  <c r="F182" i="4"/>
  <c r="E182" i="4"/>
  <c r="D182" i="4"/>
  <c r="C182" i="4"/>
  <c r="B182" i="4"/>
  <c r="C186" i="4" s="1"/>
  <c r="G171" i="4"/>
  <c r="G172" i="4" s="1"/>
  <c r="F171" i="4"/>
  <c r="E171" i="4"/>
  <c r="D171" i="4"/>
  <c r="C171" i="4"/>
  <c r="B171" i="4"/>
  <c r="G160" i="4"/>
  <c r="F160" i="4"/>
  <c r="E160" i="4"/>
  <c r="D160" i="4"/>
  <c r="C160" i="4"/>
  <c r="B160" i="4"/>
  <c r="E161" i="4" s="1"/>
  <c r="G149" i="4"/>
  <c r="G150" i="4" s="1"/>
  <c r="F149" i="4"/>
  <c r="E149" i="4"/>
  <c r="D149" i="4"/>
  <c r="C149" i="4"/>
  <c r="B149" i="4"/>
  <c r="G138" i="4"/>
  <c r="F138" i="4"/>
  <c r="E138" i="4"/>
  <c r="D138" i="4"/>
  <c r="C138" i="4"/>
  <c r="B138" i="4"/>
  <c r="G127" i="4"/>
  <c r="G128" i="4" s="1"/>
  <c r="F127" i="4"/>
  <c r="E127" i="4"/>
  <c r="D127" i="4"/>
  <c r="C127" i="4"/>
  <c r="B127" i="4"/>
  <c r="E128" i="4" s="1"/>
  <c r="G116" i="4"/>
  <c r="G117" i="4" s="1"/>
  <c r="F116" i="4"/>
  <c r="E116" i="4"/>
  <c r="D116" i="4"/>
  <c r="C116" i="4"/>
  <c r="B116" i="4"/>
  <c r="G105" i="4"/>
  <c r="G106" i="4" s="1"/>
  <c r="F105" i="4"/>
  <c r="E105" i="4"/>
  <c r="D105" i="4"/>
  <c r="C105" i="4"/>
  <c r="B105" i="4"/>
  <c r="G94" i="4"/>
  <c r="G95" i="4" s="1"/>
  <c r="F94" i="4"/>
  <c r="E94" i="4"/>
  <c r="D94" i="4"/>
  <c r="C94" i="4"/>
  <c r="B94" i="4"/>
  <c r="G83" i="4"/>
  <c r="G84" i="4" s="1"/>
  <c r="F83" i="4"/>
  <c r="E83" i="4"/>
  <c r="D83" i="4"/>
  <c r="C83" i="4"/>
  <c r="B83" i="4"/>
  <c r="G72" i="4"/>
  <c r="F72" i="4"/>
  <c r="E72" i="4"/>
  <c r="D72" i="4"/>
  <c r="C72" i="4"/>
  <c r="B72" i="4"/>
  <c r="E73" i="4" s="1"/>
  <c r="G61" i="4"/>
  <c r="F61" i="4"/>
  <c r="E61" i="4"/>
  <c r="D61" i="4"/>
  <c r="C61" i="4"/>
  <c r="B61" i="4"/>
  <c r="G50" i="4"/>
  <c r="G51" i="4" s="1"/>
  <c r="F50" i="4"/>
  <c r="E50" i="4"/>
  <c r="D50" i="4"/>
  <c r="C50" i="4"/>
  <c r="B50" i="4"/>
  <c r="G39" i="4"/>
  <c r="F39" i="4"/>
  <c r="E39" i="4"/>
  <c r="D39" i="4"/>
  <c r="C39" i="4"/>
  <c r="B39" i="4"/>
  <c r="F28" i="4"/>
  <c r="E28" i="4"/>
  <c r="D28" i="4"/>
  <c r="C28" i="4"/>
  <c r="B28" i="4"/>
  <c r="G73" i="4" l="1"/>
  <c r="G161" i="4"/>
  <c r="G183" i="4"/>
  <c r="G205" i="4"/>
  <c r="G40" i="4"/>
  <c r="G62" i="4"/>
  <c r="G194" i="4"/>
  <c r="G216" i="4"/>
  <c r="G139" i="4"/>
  <c r="E220" i="4"/>
  <c r="C100" i="4"/>
  <c r="E121" i="4"/>
  <c r="E143" i="4"/>
  <c r="C67" i="4"/>
  <c r="C60" i="4"/>
  <c r="C46" i="4"/>
  <c r="C47" i="4"/>
  <c r="C36" i="4"/>
  <c r="C48" i="4"/>
  <c r="C114" i="4"/>
  <c r="C224" i="4"/>
  <c r="E33" i="4"/>
  <c r="C58" i="4"/>
  <c r="C212" i="4"/>
  <c r="C70" i="4"/>
  <c r="C158" i="4"/>
  <c r="E40" i="4"/>
  <c r="D51" i="4"/>
  <c r="C96" i="4"/>
  <c r="D139" i="4"/>
  <c r="C76" i="4"/>
  <c r="C65" i="4"/>
  <c r="C170" i="4"/>
  <c r="C232" i="4"/>
  <c r="C59" i="4"/>
  <c r="C81" i="4"/>
  <c r="C125" i="4"/>
  <c r="D29" i="4"/>
  <c r="D44" i="4"/>
  <c r="E55" i="4"/>
  <c r="D73" i="4"/>
  <c r="D117" i="4"/>
  <c r="C183" i="4"/>
  <c r="C91" i="4"/>
  <c r="E88" i="4"/>
  <c r="D84" i="4"/>
  <c r="C93" i="4"/>
  <c r="C90" i="4"/>
  <c r="D88" i="4"/>
  <c r="C85" i="4"/>
  <c r="C84" i="4"/>
  <c r="C87" i="4"/>
  <c r="C103" i="4"/>
  <c r="C111" i="4"/>
  <c r="E106" i="4"/>
  <c r="C113" i="4"/>
  <c r="E110" i="4"/>
  <c r="D106" i="4"/>
  <c r="C115" i="4"/>
  <c r="C112" i="4"/>
  <c r="D110" i="4"/>
  <c r="C107" i="4"/>
  <c r="C106" i="4"/>
  <c r="C135" i="4"/>
  <c r="E132" i="4"/>
  <c r="D128" i="4"/>
  <c r="C137" i="4"/>
  <c r="C134" i="4"/>
  <c r="D132" i="4"/>
  <c r="C129" i="4"/>
  <c r="C128" i="4"/>
  <c r="C131" i="4"/>
  <c r="C147" i="4"/>
  <c r="C155" i="4"/>
  <c r="E150" i="4"/>
  <c r="C157" i="4"/>
  <c r="E154" i="4"/>
  <c r="D150" i="4"/>
  <c r="C159" i="4"/>
  <c r="C156" i="4"/>
  <c r="D154" i="4"/>
  <c r="C151" i="4"/>
  <c r="C150" i="4"/>
  <c r="C169" i="4"/>
  <c r="C181" i="4"/>
  <c r="C177" i="4"/>
  <c r="E172" i="4"/>
  <c r="E176" i="4"/>
  <c r="D172" i="4"/>
  <c r="C179" i="4"/>
  <c r="D176" i="4"/>
  <c r="C173" i="4"/>
  <c r="C172" i="4"/>
  <c r="C201" i="4"/>
  <c r="E198" i="4"/>
  <c r="D194" i="4"/>
  <c r="C203" i="4"/>
  <c r="C200" i="4"/>
  <c r="D198" i="4"/>
  <c r="C195" i="4"/>
  <c r="C194" i="4"/>
  <c r="C197" i="4"/>
  <c r="C213" i="4"/>
  <c r="C223" i="4"/>
  <c r="D220" i="4"/>
  <c r="E216" i="4"/>
  <c r="C222" i="4"/>
  <c r="D216" i="4"/>
  <c r="C225" i="4"/>
  <c r="C221" i="4"/>
  <c r="C219" i="4"/>
  <c r="C217" i="4"/>
  <c r="C216" i="4"/>
  <c r="C235" i="4"/>
  <c r="E29" i="4"/>
  <c r="C32" i="4"/>
  <c r="C34" i="4"/>
  <c r="E44" i="4"/>
  <c r="E51" i="4"/>
  <c r="C56" i="4"/>
  <c r="C62" i="4"/>
  <c r="C63" i="4"/>
  <c r="D66" i="4"/>
  <c r="C68" i="4"/>
  <c r="C71" i="4"/>
  <c r="C89" i="4"/>
  <c r="C98" i="4"/>
  <c r="C109" i="4"/>
  <c r="E194" i="4"/>
  <c r="D205" i="4"/>
  <c r="C191" i="4"/>
  <c r="C35" i="4"/>
  <c r="C40" i="4"/>
  <c r="C41" i="4"/>
  <c r="C43" i="4"/>
  <c r="C45" i="4"/>
  <c r="C49" i="4"/>
  <c r="C54" i="4"/>
  <c r="D62" i="4"/>
  <c r="E66" i="4"/>
  <c r="C69" i="4"/>
  <c r="C133" i="4"/>
  <c r="C153" i="4"/>
  <c r="C175" i="4"/>
  <c r="C78" i="4"/>
  <c r="C80" i="4"/>
  <c r="E77" i="4"/>
  <c r="C82" i="4"/>
  <c r="C79" i="4"/>
  <c r="D77" i="4"/>
  <c r="C74" i="4"/>
  <c r="C92" i="4"/>
  <c r="E99" i="4"/>
  <c r="C102" i="4"/>
  <c r="D99" i="4"/>
  <c r="E95" i="4"/>
  <c r="C101" i="4"/>
  <c r="D95" i="4"/>
  <c r="C124" i="4"/>
  <c r="D121" i="4"/>
  <c r="C118" i="4"/>
  <c r="C117" i="4"/>
  <c r="C123" i="4"/>
  <c r="C120" i="4"/>
  <c r="C126" i="4"/>
  <c r="C122" i="4"/>
  <c r="E117" i="4"/>
  <c r="C136" i="4"/>
  <c r="C148" i="4"/>
  <c r="C145" i="4"/>
  <c r="D143" i="4"/>
  <c r="C140" i="4"/>
  <c r="C139" i="4"/>
  <c r="C142" i="4"/>
  <c r="C144" i="4"/>
  <c r="E139" i="4"/>
  <c r="E165" i="4"/>
  <c r="D161" i="4"/>
  <c r="C168" i="4"/>
  <c r="D165" i="4"/>
  <c r="C162" i="4"/>
  <c r="C161" i="4"/>
  <c r="C167" i="4"/>
  <c r="C164" i="4"/>
  <c r="C180" i="4"/>
  <c r="C188" i="4"/>
  <c r="C190" i="4"/>
  <c r="E187" i="4"/>
  <c r="E183" i="4"/>
  <c r="C192" i="4"/>
  <c r="C189" i="4"/>
  <c r="D187" i="4"/>
  <c r="C184" i="4"/>
  <c r="D183" i="4"/>
  <c r="C202" i="4"/>
  <c r="C214" i="4"/>
  <c r="C211" i="4"/>
  <c r="D209" i="4"/>
  <c r="C206" i="4"/>
  <c r="C205" i="4"/>
  <c r="C208" i="4"/>
  <c r="C210" i="4"/>
  <c r="E205" i="4"/>
  <c r="C234" i="4"/>
  <c r="E231" i="4"/>
  <c r="D227" i="4"/>
  <c r="C236" i="4"/>
  <c r="C233" i="4"/>
  <c r="D231" i="4"/>
  <c r="C228" i="4"/>
  <c r="C227" i="4"/>
  <c r="C230" i="4"/>
  <c r="C29" i="4"/>
  <c r="C30" i="4"/>
  <c r="D33" i="4"/>
  <c r="D40" i="4"/>
  <c r="C51" i="4"/>
  <c r="C52" i="4"/>
  <c r="D55" i="4"/>
  <c r="C57" i="4"/>
  <c r="E62" i="4"/>
  <c r="C73" i="4"/>
  <c r="E84" i="4"/>
  <c r="C95" i="4"/>
  <c r="C104" i="4"/>
  <c r="C146" i="4"/>
  <c r="C166" i="4"/>
  <c r="C178" i="4"/>
  <c r="C199" i="4"/>
  <c r="E209" i="4"/>
  <c r="C17" i="4" l="1"/>
  <c r="D17" i="4"/>
  <c r="F17" i="4"/>
  <c r="E17" i="4"/>
  <c r="B17" i="4"/>
  <c r="D27" i="10"/>
  <c r="B78" i="10"/>
  <c r="B76" i="10"/>
  <c r="B74" i="10"/>
  <c r="B72" i="10"/>
  <c r="B64" i="10"/>
  <c r="B62" i="10"/>
  <c r="B60" i="10"/>
  <c r="B58" i="10"/>
  <c r="B56" i="10"/>
  <c r="B54" i="10"/>
  <c r="B52" i="10"/>
  <c r="B50" i="10"/>
  <c r="B48" i="10"/>
  <c r="B46" i="10"/>
  <c r="B44" i="10"/>
  <c r="F79" i="10"/>
  <c r="F77" i="10"/>
  <c r="F75" i="10"/>
  <c r="F73" i="10"/>
  <c r="F71" i="10"/>
  <c r="F65" i="10"/>
  <c r="F63" i="10"/>
  <c r="F61" i="10"/>
  <c r="F59" i="10"/>
  <c r="F57" i="10"/>
  <c r="F55" i="10"/>
  <c r="F53" i="10"/>
  <c r="F51" i="10"/>
  <c r="F49" i="10"/>
  <c r="F47" i="10"/>
  <c r="F45" i="10"/>
  <c r="F43" i="10"/>
  <c r="F41" i="10"/>
  <c r="F39" i="10"/>
  <c r="F37" i="10"/>
  <c r="F35" i="10"/>
  <c r="F33" i="10"/>
  <c r="F31" i="10"/>
  <c r="F29" i="10"/>
  <c r="D65" i="10"/>
  <c r="E65" i="10" s="1"/>
  <c r="G65" i="10" s="1"/>
  <c r="D63" i="10"/>
  <c r="E63" i="10" s="1"/>
  <c r="G63" i="10" s="1"/>
  <c r="D61" i="10"/>
  <c r="E61" i="10" s="1"/>
  <c r="G61" i="10" s="1"/>
  <c r="D59" i="10"/>
  <c r="E59" i="10" s="1"/>
  <c r="G59" i="10" s="1"/>
  <c r="D57" i="10"/>
  <c r="E57" i="10" s="1"/>
  <c r="G57" i="10" s="1"/>
  <c r="D55" i="10"/>
  <c r="E55" i="10" s="1"/>
  <c r="G55" i="10" s="1"/>
  <c r="D53" i="10"/>
  <c r="E53" i="10" s="1"/>
  <c r="G53" i="10" s="1"/>
  <c r="D51" i="10"/>
  <c r="E51" i="10" s="1"/>
  <c r="G51" i="10" s="1"/>
  <c r="D49" i="10"/>
  <c r="E49" i="10" s="1"/>
  <c r="G49" i="10" s="1"/>
  <c r="D47" i="10"/>
  <c r="E47" i="10" s="1"/>
  <c r="G47" i="10" s="1"/>
  <c r="A79" i="10"/>
  <c r="A77" i="10"/>
  <c r="A75" i="10"/>
  <c r="A73" i="10"/>
  <c r="A71" i="10"/>
  <c r="A65" i="10"/>
  <c r="A63" i="10"/>
  <c r="A61" i="10"/>
  <c r="A59" i="10"/>
  <c r="A57" i="10"/>
  <c r="A55" i="10"/>
  <c r="A53" i="10"/>
  <c r="A51" i="10"/>
  <c r="G116" i="10"/>
  <c r="E281" i="4" s="1"/>
  <c r="E116" i="10"/>
  <c r="C281" i="4" s="1"/>
  <c r="D116" i="10"/>
  <c r="I115" i="10"/>
  <c r="H116" i="10"/>
  <c r="F281" i="4" s="1"/>
  <c r="G114" i="10"/>
  <c r="E270" i="4" s="1"/>
  <c r="E114" i="10"/>
  <c r="C270" i="4" s="1"/>
  <c r="D114" i="10"/>
  <c r="B270" i="4" s="1"/>
  <c r="I113" i="10"/>
  <c r="H114" i="10"/>
  <c r="F270" i="4" s="1"/>
  <c r="G112" i="10"/>
  <c r="E259" i="4" s="1"/>
  <c r="E112" i="10"/>
  <c r="C259" i="4" s="1"/>
  <c r="D112" i="10"/>
  <c r="B259" i="4" s="1"/>
  <c r="I111" i="10"/>
  <c r="H112" i="10"/>
  <c r="F259" i="4" s="1"/>
  <c r="G110" i="10"/>
  <c r="E248" i="4" s="1"/>
  <c r="E110" i="10"/>
  <c r="C248" i="4" s="1"/>
  <c r="D110" i="10"/>
  <c r="I109" i="10"/>
  <c r="H110" i="10"/>
  <c r="F248" i="4" s="1"/>
  <c r="D64" i="10"/>
  <c r="E64" i="10" s="1"/>
  <c r="G64" i="10" s="1"/>
  <c r="H64" i="10" s="1"/>
  <c r="D62" i="10"/>
  <c r="E62" i="10" s="1"/>
  <c r="G62" i="10" s="1"/>
  <c r="H62" i="10" s="1"/>
  <c r="D60" i="10"/>
  <c r="E60" i="10" s="1"/>
  <c r="G60" i="10" s="1"/>
  <c r="H60" i="10" s="1"/>
  <c r="D58" i="10"/>
  <c r="E58" i="10" s="1"/>
  <c r="G58" i="10" s="1"/>
  <c r="H58" i="10" s="1"/>
  <c r="D56" i="10"/>
  <c r="E56" i="10" s="1"/>
  <c r="G56" i="10" s="1"/>
  <c r="H56" i="10" s="1"/>
  <c r="D54" i="10"/>
  <c r="E54" i="10" s="1"/>
  <c r="G54" i="10" s="1"/>
  <c r="H54" i="10" s="1"/>
  <c r="D52" i="10"/>
  <c r="E52" i="10" s="1"/>
  <c r="G52" i="10" s="1"/>
  <c r="H52" i="10" s="1"/>
  <c r="D50" i="10"/>
  <c r="E50" i="10" s="1"/>
  <c r="G50" i="10" s="1"/>
  <c r="H50" i="10" s="1"/>
  <c r="D48" i="10"/>
  <c r="E48" i="10" s="1"/>
  <c r="G48" i="10" s="1"/>
  <c r="H48" i="10" s="1"/>
  <c r="D46" i="10"/>
  <c r="E46" i="10" s="1"/>
  <c r="G46" i="10" s="1"/>
  <c r="H46" i="10" s="1"/>
  <c r="D108" i="10"/>
  <c r="G108" i="10"/>
  <c r="H82" i="10" s="1"/>
  <c r="E108" i="10"/>
  <c r="C237" i="4" s="1"/>
  <c r="H108" i="10"/>
  <c r="M115" i="10"/>
  <c r="L115" i="10"/>
  <c r="K115" i="10"/>
  <c r="L113" i="10"/>
  <c r="K113" i="10"/>
  <c r="L111" i="10"/>
  <c r="K111" i="10"/>
  <c r="L109" i="10"/>
  <c r="K109" i="10"/>
  <c r="L107" i="10"/>
  <c r="K107" i="10"/>
  <c r="M104" i="10"/>
  <c r="L104" i="10"/>
  <c r="K104" i="10"/>
  <c r="M103" i="10"/>
  <c r="L103" i="10"/>
  <c r="K103" i="10"/>
  <c r="M102" i="10"/>
  <c r="L102" i="10"/>
  <c r="K102" i="10"/>
  <c r="M101" i="10"/>
  <c r="L101" i="10"/>
  <c r="K101" i="10"/>
  <c r="M100" i="10"/>
  <c r="L100" i="10"/>
  <c r="K100" i="10"/>
  <c r="M99" i="10"/>
  <c r="L99" i="10"/>
  <c r="K99" i="10"/>
  <c r="M98" i="10"/>
  <c r="L98" i="10"/>
  <c r="K98" i="10"/>
  <c r="M97" i="10"/>
  <c r="L97" i="10"/>
  <c r="K97" i="10"/>
  <c r="M96" i="10"/>
  <c r="L96" i="10"/>
  <c r="K96" i="10"/>
  <c r="M95" i="10"/>
  <c r="L95" i="10"/>
  <c r="K95" i="10"/>
  <c r="M94" i="10"/>
  <c r="L94" i="10"/>
  <c r="K94" i="10"/>
  <c r="M93" i="10"/>
  <c r="L93" i="10"/>
  <c r="K93" i="10"/>
  <c r="M92" i="10"/>
  <c r="L92" i="10"/>
  <c r="K92" i="10"/>
  <c r="M91" i="10"/>
  <c r="L91" i="10"/>
  <c r="K91" i="10"/>
  <c r="M90" i="10"/>
  <c r="L90" i="10"/>
  <c r="K90" i="10"/>
  <c r="M89" i="10"/>
  <c r="L89" i="10"/>
  <c r="K89" i="10"/>
  <c r="M88" i="10"/>
  <c r="L88" i="10"/>
  <c r="K88" i="10"/>
  <c r="M87" i="10"/>
  <c r="L87" i="10"/>
  <c r="K87" i="10"/>
  <c r="M86" i="10"/>
  <c r="L86" i="10"/>
  <c r="K86" i="10"/>
  <c r="M85" i="10"/>
  <c r="L85" i="10"/>
  <c r="K85" i="10"/>
  <c r="Q137" i="10"/>
  <c r="Q136" i="10"/>
  <c r="Q135" i="10"/>
  <c r="Q134" i="10"/>
  <c r="Q133" i="10"/>
  <c r="Q132" i="10"/>
  <c r="Q131" i="10"/>
  <c r="Q130" i="10"/>
  <c r="Q129" i="10"/>
  <c r="Q128" i="10"/>
  <c r="B30" i="10"/>
  <c r="S137" i="10"/>
  <c r="S136" i="10"/>
  <c r="S135" i="10"/>
  <c r="S134" i="10"/>
  <c r="S133" i="10"/>
  <c r="S132" i="10"/>
  <c r="S131" i="10"/>
  <c r="S130" i="10"/>
  <c r="S129" i="10"/>
  <c r="S128" i="10"/>
  <c r="R128" i="10"/>
  <c r="R129" i="10"/>
  <c r="R130" i="10"/>
  <c r="R131" i="10"/>
  <c r="R132" i="10"/>
  <c r="R133" i="10"/>
  <c r="R134" i="10"/>
  <c r="R135" i="10"/>
  <c r="R136" i="10"/>
  <c r="R137" i="10"/>
  <c r="D45" i="10"/>
  <c r="E45" i="10" s="1"/>
  <c r="G45" i="10" s="1"/>
  <c r="D43" i="10"/>
  <c r="E43" i="10" s="1"/>
  <c r="G43" i="10" s="1"/>
  <c r="H43" i="10" s="1"/>
  <c r="D41" i="10"/>
  <c r="E41" i="10" s="1"/>
  <c r="G41" i="10" s="1"/>
  <c r="H41" i="10" s="1"/>
  <c r="D39" i="10"/>
  <c r="E39" i="10" s="1"/>
  <c r="G39" i="10" s="1"/>
  <c r="H39" i="10" s="1"/>
  <c r="D37" i="10"/>
  <c r="D35" i="10"/>
  <c r="E35" i="10" s="1"/>
  <c r="G35" i="10" s="1"/>
  <c r="H35" i="10" s="1"/>
  <c r="D33" i="10"/>
  <c r="E33" i="10" s="1"/>
  <c r="G33" i="10" s="1"/>
  <c r="D31" i="10"/>
  <c r="E31" i="10" s="1"/>
  <c r="G31" i="10" s="1"/>
  <c r="H31" i="10" s="1"/>
  <c r="D29" i="10"/>
  <c r="F27" i="10"/>
  <c r="B29" i="10"/>
  <c r="B31" i="10" s="1"/>
  <c r="B33" i="10" s="1"/>
  <c r="B35" i="10" s="1"/>
  <c r="B37" i="10" s="1"/>
  <c r="B39" i="10" s="1"/>
  <c r="B41" i="10" s="1"/>
  <c r="B43" i="10" s="1"/>
  <c r="B45" i="10" s="1"/>
  <c r="B47" i="10" s="1"/>
  <c r="B49" i="10" s="1"/>
  <c r="B51" i="10" s="1"/>
  <c r="B53" i="10" s="1"/>
  <c r="B55" i="10" s="1"/>
  <c r="B57" i="10" s="1"/>
  <c r="B59" i="10" s="1"/>
  <c r="B61" i="10" s="1"/>
  <c r="B63" i="10" s="1"/>
  <c r="B65" i="10" s="1"/>
  <c r="H33" i="10" l="1"/>
  <c r="H45" i="10"/>
  <c r="E237" i="4"/>
  <c r="M108" i="10"/>
  <c r="H51" i="10"/>
  <c r="H59" i="10"/>
  <c r="H53" i="10"/>
  <c r="H61" i="10"/>
  <c r="D117" i="10"/>
  <c r="B248" i="4"/>
  <c r="C255" i="4" s="1"/>
  <c r="H255" i="4" s="1"/>
  <c r="J110" i="10"/>
  <c r="D72" i="10" s="1"/>
  <c r="D73" i="10" s="1"/>
  <c r="H49" i="10"/>
  <c r="H57" i="10"/>
  <c r="H65" i="10"/>
  <c r="B237" i="4"/>
  <c r="C245" i="4" s="1"/>
  <c r="H245" i="4" s="1"/>
  <c r="J108" i="10"/>
  <c r="B71" i="10"/>
  <c r="B73" i="10" s="1"/>
  <c r="B75" i="10" s="1"/>
  <c r="B77" i="10" s="1"/>
  <c r="B79" i="10" s="1"/>
  <c r="B67" i="10"/>
  <c r="B69" i="10" s="1"/>
  <c r="H47" i="10"/>
  <c r="H55" i="10"/>
  <c r="H63" i="10"/>
  <c r="I116" i="10"/>
  <c r="G281" i="4" s="1"/>
  <c r="G282" i="4" s="1"/>
  <c r="B281" i="4"/>
  <c r="E69" i="10"/>
  <c r="G69" i="10" s="1"/>
  <c r="H69" i="10" s="1"/>
  <c r="F237" i="4"/>
  <c r="C277" i="4"/>
  <c r="H277" i="4" s="1"/>
  <c r="D275" i="4"/>
  <c r="C278" i="4"/>
  <c r="H278" i="4" s="1"/>
  <c r="C271" i="4"/>
  <c r="C274" i="4"/>
  <c r="H274" i="4" s="1"/>
  <c r="C276" i="4"/>
  <c r="H276" i="4" s="1"/>
  <c r="C273" i="4"/>
  <c r="H273" i="4" s="1"/>
  <c r="E271" i="4"/>
  <c r="D271" i="4"/>
  <c r="E275" i="4"/>
  <c r="C280" i="4"/>
  <c r="H280" i="4" s="1"/>
  <c r="C272" i="4"/>
  <c r="H272" i="4" s="1"/>
  <c r="C262" i="4"/>
  <c r="H262" i="4" s="1"/>
  <c r="C269" i="4"/>
  <c r="H269" i="4" s="1"/>
  <c r="C260" i="4"/>
  <c r="C261" i="4"/>
  <c r="H261" i="4" s="1"/>
  <c r="E260" i="4"/>
  <c r="E264" i="4"/>
  <c r="C266" i="4"/>
  <c r="H266" i="4" s="1"/>
  <c r="C263" i="4"/>
  <c r="H263" i="4" s="1"/>
  <c r="C267" i="4"/>
  <c r="H267" i="4" s="1"/>
  <c r="D260" i="4"/>
  <c r="D264" i="4"/>
  <c r="C265" i="4"/>
  <c r="H265" i="4" s="1"/>
  <c r="C18" i="4"/>
  <c r="H81" i="4"/>
  <c r="H36" i="4"/>
  <c r="H186" i="4"/>
  <c r="H67" i="4"/>
  <c r="H70" i="4"/>
  <c r="H60" i="4"/>
  <c r="H65" i="4"/>
  <c r="H113" i="4"/>
  <c r="H157" i="4"/>
  <c r="H219" i="4"/>
  <c r="H76" i="4"/>
  <c r="H188" i="4"/>
  <c r="H56" i="4"/>
  <c r="H133" i="4"/>
  <c r="H32" i="4"/>
  <c r="H41" i="4"/>
  <c r="H125" i="4"/>
  <c r="H100" i="4"/>
  <c r="H224" i="4"/>
  <c r="H48" i="4"/>
  <c r="H96" i="4"/>
  <c r="H170" i="4"/>
  <c r="H212" i="4"/>
  <c r="H217" i="4"/>
  <c r="H111" i="4"/>
  <c r="H155" i="4"/>
  <c r="H46" i="4"/>
  <c r="H47" i="4"/>
  <c r="H135" i="4"/>
  <c r="H114" i="4"/>
  <c r="H232" i="4"/>
  <c r="H58" i="4"/>
  <c r="H115" i="4"/>
  <c r="H44" i="4"/>
  <c r="H59" i="4"/>
  <c r="H158" i="4"/>
  <c r="H89" i="4"/>
  <c r="H199" i="4"/>
  <c r="H71" i="4"/>
  <c r="H55" i="4"/>
  <c r="H214" i="4"/>
  <c r="H148" i="4"/>
  <c r="H234" i="4"/>
  <c r="H121" i="4"/>
  <c r="H93" i="4"/>
  <c r="H146" i="4"/>
  <c r="H62" i="4"/>
  <c r="C64" i="4" s="1"/>
  <c r="H64" i="4" s="1"/>
  <c r="H200" i="4"/>
  <c r="H84" i="4"/>
  <c r="C86" i="4" s="1"/>
  <c r="H86" i="4" s="1"/>
  <c r="H211" i="4"/>
  <c r="H123" i="4"/>
  <c r="H54" i="4"/>
  <c r="H220" i="4"/>
  <c r="H179" i="4"/>
  <c r="H134" i="4"/>
  <c r="H79" i="4"/>
  <c r="H197" i="4"/>
  <c r="H166" i="4"/>
  <c r="H95" i="4"/>
  <c r="C97" i="4" s="1"/>
  <c r="H97" i="4" s="1"/>
  <c r="H227" i="4"/>
  <c r="C229" i="4" s="1"/>
  <c r="H229" i="4" s="1"/>
  <c r="H162" i="4"/>
  <c r="H117" i="4"/>
  <c r="C119" i="4" s="1"/>
  <c r="H119" i="4" s="1"/>
  <c r="H40" i="4"/>
  <c r="C42" i="4" s="1"/>
  <c r="H42" i="4" s="1"/>
  <c r="H195" i="4"/>
  <c r="H128" i="4"/>
  <c r="C130" i="4" s="1"/>
  <c r="H130" i="4" s="1"/>
  <c r="H88" i="4"/>
  <c r="H168" i="4"/>
  <c r="H154" i="4"/>
  <c r="H228" i="4"/>
  <c r="H164" i="4"/>
  <c r="H118" i="4"/>
  <c r="H175" i="4"/>
  <c r="H221" i="4"/>
  <c r="H129" i="4"/>
  <c r="H30" i="4"/>
  <c r="H69" i="4"/>
  <c r="H210" i="4"/>
  <c r="H80" i="4"/>
  <c r="H91" i="4"/>
  <c r="H144" i="4"/>
  <c r="H176" i="4"/>
  <c r="H73" i="4"/>
  <c r="C75" i="4" s="1"/>
  <c r="H75" i="4" s="1"/>
  <c r="H184" i="4"/>
  <c r="H124" i="4"/>
  <c r="H194" i="4"/>
  <c r="C196" i="4" s="1"/>
  <c r="H196" i="4" s="1"/>
  <c r="H150" i="4"/>
  <c r="C152" i="4" s="1"/>
  <c r="H152" i="4" s="1"/>
  <c r="H110" i="4"/>
  <c r="H192" i="4"/>
  <c r="H34" i="4"/>
  <c r="H198" i="4"/>
  <c r="H52" i="4"/>
  <c r="H205" i="4"/>
  <c r="C207" i="4" s="1"/>
  <c r="H207" i="4" s="1"/>
  <c r="H142" i="4"/>
  <c r="H99" i="4"/>
  <c r="H191" i="4"/>
  <c r="H172" i="4"/>
  <c r="C174" i="4" s="1"/>
  <c r="H174" i="4" s="1"/>
  <c r="H137" i="4"/>
  <c r="H140" i="4"/>
  <c r="H230" i="4"/>
  <c r="H206" i="4"/>
  <c r="H165" i="4"/>
  <c r="H101" i="4"/>
  <c r="H45" i="4"/>
  <c r="H213" i="4"/>
  <c r="H106" i="4"/>
  <c r="C108" i="4" s="1"/>
  <c r="H108" i="4" s="1"/>
  <c r="H136" i="4"/>
  <c r="H132" i="4"/>
  <c r="H143" i="4"/>
  <c r="H82" i="4"/>
  <c r="H131" i="4"/>
  <c r="H120" i="4"/>
  <c r="H107" i="4"/>
  <c r="H122" i="4"/>
  <c r="H66" i="4"/>
  <c r="H151" i="4"/>
  <c r="H231" i="4"/>
  <c r="H104" i="4"/>
  <c r="H189" i="4"/>
  <c r="H77" i="4"/>
  <c r="H235" i="4"/>
  <c r="H90" i="4"/>
  <c r="H43" i="4"/>
  <c r="H183" i="4"/>
  <c r="C185" i="4" s="1"/>
  <c r="H185" i="4" s="1"/>
  <c r="H236" i="4"/>
  <c r="H78" i="4"/>
  <c r="H209" i="4"/>
  <c r="H156" i="4"/>
  <c r="H161" i="4"/>
  <c r="C163" i="4" s="1"/>
  <c r="H163" i="4" s="1"/>
  <c r="H92" i="4"/>
  <c r="H109" i="4"/>
  <c r="H203" i="4"/>
  <c r="H159" i="4"/>
  <c r="H85" i="4"/>
  <c r="H167" i="4"/>
  <c r="H147" i="4"/>
  <c r="H33" i="4"/>
  <c r="H187" i="4"/>
  <c r="H145" i="4"/>
  <c r="H74" i="4"/>
  <c r="H222" i="4"/>
  <c r="H177" i="4"/>
  <c r="H112" i="4"/>
  <c r="H178" i="4"/>
  <c r="H153" i="4"/>
  <c r="H51" i="4"/>
  <c r="C53" i="4" s="1"/>
  <c r="H53" i="4" s="1"/>
  <c r="H202" i="4"/>
  <c r="H139" i="4"/>
  <c r="C141" i="4" s="1"/>
  <c r="H141" i="4" s="1"/>
  <c r="H102" i="4"/>
  <c r="H35" i="4"/>
  <c r="H173" i="4"/>
  <c r="H87" i="4"/>
  <c r="H190" i="4"/>
  <c r="H98" i="4"/>
  <c r="H225" i="4"/>
  <c r="H208" i="4"/>
  <c r="H68" i="4"/>
  <c r="H201" i="4"/>
  <c r="H57" i="4"/>
  <c r="H216" i="4"/>
  <c r="C218" i="4" s="1"/>
  <c r="H218" i="4" s="1"/>
  <c r="H233" i="4"/>
  <c r="H180" i="4"/>
  <c r="H49" i="4"/>
  <c r="H223" i="4"/>
  <c r="H103" i="4"/>
  <c r="H169" i="4"/>
  <c r="H126" i="4"/>
  <c r="H63" i="4"/>
  <c r="H181" i="4"/>
  <c r="D15" i="4"/>
  <c r="C21" i="4"/>
  <c r="H21" i="4" s="1"/>
  <c r="E22" i="4"/>
  <c r="D22" i="4"/>
  <c r="D18" i="4"/>
  <c r="C24" i="4"/>
  <c r="H24" i="4" s="1"/>
  <c r="C23" i="4"/>
  <c r="H23" i="4" s="1"/>
  <c r="E18" i="4"/>
  <c r="C25" i="4"/>
  <c r="H25" i="4" s="1"/>
  <c r="D74" i="10"/>
  <c r="D75" i="10" s="1"/>
  <c r="K112" i="10"/>
  <c r="L110" i="10"/>
  <c r="M114" i="10"/>
  <c r="L114" i="10"/>
  <c r="K110" i="10"/>
  <c r="K114" i="10"/>
  <c r="D78" i="10"/>
  <c r="M110" i="10"/>
  <c r="M112" i="10"/>
  <c r="L116" i="10"/>
  <c r="K116" i="10"/>
  <c r="M116" i="10"/>
  <c r="M113" i="10"/>
  <c r="D76" i="10"/>
  <c r="M109" i="10"/>
  <c r="K108" i="10"/>
  <c r="I114" i="10"/>
  <c r="G270" i="4" s="1"/>
  <c r="G271" i="4" s="1"/>
  <c r="I112" i="10"/>
  <c r="G259" i="4" s="1"/>
  <c r="G260" i="4" s="1"/>
  <c r="L112" i="10"/>
  <c r="M111" i="10"/>
  <c r="I110" i="10"/>
  <c r="G248" i="4" s="1"/>
  <c r="G249" i="4" s="1"/>
  <c r="G237" i="4"/>
  <c r="M107" i="10"/>
  <c r="L108" i="10"/>
  <c r="H443" i="4"/>
  <c r="G238" i="4" l="1"/>
  <c r="C252" i="4"/>
  <c r="H252" i="4" s="1"/>
  <c r="C256" i="4"/>
  <c r="H256" i="4" s="1"/>
  <c r="C254" i="4"/>
  <c r="H254" i="4" s="1"/>
  <c r="E242" i="4"/>
  <c r="E78" i="10"/>
  <c r="G78" i="10" s="1"/>
  <c r="H78" i="10" s="1"/>
  <c r="D79" i="10"/>
  <c r="E79" i="10" s="1"/>
  <c r="G79" i="10" s="1"/>
  <c r="H79" i="10" s="1"/>
  <c r="E76" i="10"/>
  <c r="G76" i="10" s="1"/>
  <c r="H76" i="10" s="1"/>
  <c r="D77" i="10"/>
  <c r="E77" i="10" s="1"/>
  <c r="G77" i="10" s="1"/>
  <c r="H77" i="10" s="1"/>
  <c r="C250" i="4"/>
  <c r="H250" i="4" s="1"/>
  <c r="C249" i="4"/>
  <c r="E253" i="4"/>
  <c r="D253" i="4"/>
  <c r="E249" i="4"/>
  <c r="D249" i="4"/>
  <c r="C258" i="4"/>
  <c r="H258" i="4" s="1"/>
  <c r="C241" i="4"/>
  <c r="H241" i="4" s="1"/>
  <c r="C244" i="4"/>
  <c r="H244" i="4" s="1"/>
  <c r="E238" i="4"/>
  <c r="C239" i="4"/>
  <c r="H239" i="4" s="1"/>
  <c r="D242" i="4"/>
  <c r="C238" i="4"/>
  <c r="C243" i="4"/>
  <c r="H243" i="4" s="1"/>
  <c r="D238" i="4"/>
  <c r="H264" i="4"/>
  <c r="C247" i="4"/>
  <c r="H247" i="4" s="1"/>
  <c r="C290" i="4"/>
  <c r="H290" i="4" s="1"/>
  <c r="H275" i="4"/>
  <c r="H260" i="4"/>
  <c r="H271" i="4"/>
  <c r="E282" i="4"/>
  <c r="D282" i="4"/>
  <c r="C283" i="4"/>
  <c r="H283" i="4" s="1"/>
  <c r="C287" i="4"/>
  <c r="H287" i="4" s="1"/>
  <c r="C284" i="4"/>
  <c r="H284" i="4" s="1"/>
  <c r="D286" i="4"/>
  <c r="C289" i="4"/>
  <c r="H289" i="4" s="1"/>
  <c r="C291" i="4"/>
  <c r="H291" i="4" s="1"/>
  <c r="C282" i="4"/>
  <c r="E286" i="4"/>
  <c r="C288" i="4"/>
  <c r="H288" i="4" s="1"/>
  <c r="C285" i="4"/>
  <c r="H285" i="4" s="1"/>
  <c r="C257" i="4"/>
  <c r="H257" i="4" s="1"/>
  <c r="C279" i="4"/>
  <c r="H279" i="4" s="1"/>
  <c r="C268" i="4"/>
  <c r="H268" i="4" s="1"/>
  <c r="C246" i="4"/>
  <c r="H246" i="4" s="1"/>
  <c r="C19" i="4"/>
  <c r="H19" i="4" s="1"/>
  <c r="H22" i="4"/>
  <c r="E72" i="10"/>
  <c r="G72" i="10" s="1"/>
  <c r="H72" i="10" s="1"/>
  <c r="E73" i="10"/>
  <c r="G73" i="10" s="1"/>
  <c r="H73" i="10" s="1"/>
  <c r="E75" i="10"/>
  <c r="G75" i="10" s="1"/>
  <c r="H75" i="10" s="1"/>
  <c r="E74" i="10"/>
  <c r="G74" i="10" s="1"/>
  <c r="H74" i="10" s="1"/>
  <c r="L117" i="10"/>
  <c r="K117" i="10"/>
  <c r="M117" i="10"/>
  <c r="D10" i="4" l="1"/>
  <c r="H242" i="4"/>
  <c r="D9" i="4"/>
  <c r="D8" i="4"/>
  <c r="H253" i="4"/>
  <c r="H249" i="4"/>
  <c r="C251" i="4" s="1"/>
  <c r="H251" i="4" s="1"/>
  <c r="D6" i="4"/>
  <c r="H238" i="4"/>
  <c r="C240" i="4" s="1"/>
  <c r="H240" i="4" s="1"/>
  <c r="H282" i="4"/>
  <c r="H286" i="4"/>
  <c r="D4" i="4"/>
  <c r="F161" i="10"/>
  <c r="D7" i="4" l="1"/>
  <c r="A26" i="10"/>
  <c r="B26" i="10"/>
  <c r="G28" i="4"/>
  <c r="G29" i="4" l="1"/>
  <c r="H29" i="4" s="1"/>
  <c r="C37" i="4"/>
  <c r="H37" i="4" s="1"/>
  <c r="C38" i="4"/>
  <c r="H38" i="4" s="1"/>
  <c r="G17" i="4"/>
  <c r="AB130" i="10"/>
  <c r="Z131" i="10"/>
  <c r="Z129" i="10"/>
  <c r="AB128" i="10"/>
  <c r="B42" i="10"/>
  <c r="B40" i="10"/>
  <c r="B38" i="10"/>
  <c r="B36" i="10"/>
  <c r="B34" i="10"/>
  <c r="B32" i="10"/>
  <c r="B28" i="10"/>
  <c r="A44" i="10"/>
  <c r="D44" i="10" s="1"/>
  <c r="A42" i="10"/>
  <c r="D42" i="10" s="1"/>
  <c r="A40" i="10"/>
  <c r="D40" i="10" s="1"/>
  <c r="A38" i="10"/>
  <c r="D38" i="10" s="1"/>
  <c r="A36" i="10"/>
  <c r="D36" i="10" s="1"/>
  <c r="A34" i="10"/>
  <c r="D34" i="10" s="1"/>
  <c r="A32" i="10"/>
  <c r="D32" i="10" s="1"/>
  <c r="A30" i="10"/>
  <c r="A28" i="10"/>
  <c r="L70" i="2"/>
  <c r="L69" i="2"/>
  <c r="L68" i="2"/>
  <c r="L67" i="2"/>
  <c r="L66" i="2"/>
  <c r="L64" i="2"/>
  <c r="L63" i="2"/>
  <c r="L62" i="2"/>
  <c r="L61" i="2"/>
  <c r="L60" i="2"/>
  <c r="L58" i="2"/>
  <c r="L57" i="2"/>
  <c r="L56" i="2"/>
  <c r="L55" i="2"/>
  <c r="L54" i="2"/>
  <c r="L52" i="2"/>
  <c r="L51" i="2"/>
  <c r="L50" i="2"/>
  <c r="L49" i="2"/>
  <c r="L48" i="2"/>
  <c r="L46" i="2"/>
  <c r="L45" i="2"/>
  <c r="L44" i="2"/>
  <c r="L43" i="2"/>
  <c r="L42" i="2"/>
  <c r="L38" i="2"/>
  <c r="L37" i="2"/>
  <c r="L36" i="2"/>
  <c r="L35" i="2"/>
  <c r="L34" i="2"/>
  <c r="L32" i="2"/>
  <c r="L31" i="2"/>
  <c r="L30" i="2"/>
  <c r="L29" i="2"/>
  <c r="L28" i="2"/>
  <c r="L26" i="2"/>
  <c r="L25" i="2"/>
  <c r="L24" i="2"/>
  <c r="L23" i="2"/>
  <c r="L22" i="2"/>
  <c r="L20" i="2"/>
  <c r="L19" i="2"/>
  <c r="L18" i="2"/>
  <c r="L17" i="2"/>
  <c r="L16" i="2"/>
  <c r="L10" i="2"/>
  <c r="F14" i="2"/>
  <c r="F13" i="2"/>
  <c r="F12" i="2"/>
  <c r="F11" i="2"/>
  <c r="F10" i="2"/>
  <c r="F20" i="2"/>
  <c r="F19" i="2"/>
  <c r="F18" i="2"/>
  <c r="F17" i="2"/>
  <c r="F16" i="2"/>
  <c r="F26" i="2"/>
  <c r="F25" i="2"/>
  <c r="F24" i="2"/>
  <c r="F23" i="2"/>
  <c r="F22" i="2"/>
  <c r="F32" i="2"/>
  <c r="F31" i="2"/>
  <c r="F30" i="2"/>
  <c r="F29" i="2"/>
  <c r="F28" i="2"/>
  <c r="F37" i="2"/>
  <c r="F36" i="2"/>
  <c r="F35" i="2"/>
  <c r="F34" i="2"/>
  <c r="F38" i="2"/>
  <c r="F70" i="2"/>
  <c r="F69" i="2"/>
  <c r="F68" i="2"/>
  <c r="F67" i="2"/>
  <c r="F66" i="2"/>
  <c r="F64" i="2"/>
  <c r="F63" i="2"/>
  <c r="F62" i="2"/>
  <c r="F61" i="2"/>
  <c r="F60" i="2"/>
  <c r="F58" i="2"/>
  <c r="F57" i="2"/>
  <c r="F56" i="2"/>
  <c r="F55" i="2"/>
  <c r="F52" i="2"/>
  <c r="F51" i="2"/>
  <c r="F50" i="2"/>
  <c r="F49" i="2"/>
  <c r="F48" i="2"/>
  <c r="F46" i="2"/>
  <c r="F45" i="2"/>
  <c r="F44" i="2"/>
  <c r="F43" i="2"/>
  <c r="F42" i="2"/>
  <c r="F54" i="2"/>
  <c r="G18" i="4" l="1"/>
  <c r="H18" i="4" s="1"/>
  <c r="C26" i="4"/>
  <c r="H26" i="4" s="1"/>
  <c r="D11" i="4" s="1"/>
  <c r="C27" i="4"/>
  <c r="H27" i="4" s="1"/>
  <c r="D12" i="4" s="1"/>
  <c r="C31" i="4"/>
  <c r="H31" i="4" s="1"/>
  <c r="A29" i="10"/>
  <c r="D28" i="10"/>
  <c r="E28" i="10" s="1"/>
  <c r="G28" i="10" s="1"/>
  <c r="H28" i="10" s="1"/>
  <c r="D30" i="10"/>
  <c r="E30" i="10" s="1"/>
  <c r="G30" i="10" s="1"/>
  <c r="H30" i="10" s="1"/>
  <c r="A35" i="10"/>
  <c r="E34" i="10"/>
  <c r="G34" i="10" s="1"/>
  <c r="H34" i="10" s="1"/>
  <c r="A43" i="10"/>
  <c r="E42" i="10"/>
  <c r="G42" i="10" s="1"/>
  <c r="H42" i="10" s="1"/>
  <c r="A37" i="10"/>
  <c r="E36" i="10"/>
  <c r="G36" i="10" s="1"/>
  <c r="H36" i="10" s="1"/>
  <c r="A45" i="10"/>
  <c r="E44" i="10"/>
  <c r="G44" i="10" s="1"/>
  <c r="H44" i="10" s="1"/>
  <c r="A31" i="10"/>
  <c r="A39" i="10"/>
  <c r="E38" i="10"/>
  <c r="G38" i="10" s="1"/>
  <c r="H38" i="10" s="1"/>
  <c r="A33" i="10"/>
  <c r="E32" i="10"/>
  <c r="G32" i="10" s="1"/>
  <c r="H32" i="10" s="1"/>
  <c r="A41" i="10"/>
  <c r="E40" i="10"/>
  <c r="G40" i="10" s="1"/>
  <c r="H40" i="10" s="1"/>
  <c r="D70" i="10"/>
  <c r="D71" i="10" s="1"/>
  <c r="A49" i="10"/>
  <c r="W129" i="10"/>
  <c r="X131" i="10"/>
  <c r="AB131" i="10" s="1"/>
  <c r="AA130" i="10"/>
  <c r="AA131" i="10" s="1"/>
  <c r="X129" i="10"/>
  <c r="AA128" i="10"/>
  <c r="AA129" i="10" s="1"/>
  <c r="E7" i="10"/>
  <c r="F13" i="10" s="1"/>
  <c r="D3" i="4" l="1"/>
  <c r="C20" i="4"/>
  <c r="D26" i="10"/>
  <c r="J117" i="10"/>
  <c r="E71" i="10"/>
  <c r="G71" i="10" s="1"/>
  <c r="H71" i="10" s="1"/>
  <c r="Q159" i="10"/>
  <c r="S158" i="10"/>
  <c r="Q158" i="10"/>
  <c r="Q160" i="10" s="1"/>
  <c r="S159" i="10"/>
  <c r="R159" i="10"/>
  <c r="R158" i="10"/>
  <c r="R160" i="10" s="1"/>
  <c r="AB129" i="10"/>
  <c r="H20" i="4" l="1"/>
  <c r="D5" i="4" s="1"/>
  <c r="D80" i="10"/>
  <c r="S160" i="10"/>
  <c r="B18" i="10" l="1"/>
  <c r="B17" i="10"/>
  <c r="L486" i="4"/>
  <c r="G384" i="4" s="1"/>
  <c r="I384" i="4" s="1"/>
  <c r="B19" i="10" l="1"/>
  <c r="I486" i="4"/>
  <c r="M486" i="4" s="1"/>
  <c r="G486" i="4"/>
  <c r="B20" i="10" l="1"/>
  <c r="B21" i="10"/>
  <c r="K486" i="4"/>
  <c r="H384" i="4"/>
  <c r="H476" i="4"/>
  <c r="L476" i="4" l="1"/>
  <c r="G374" i="4" s="1"/>
  <c r="I374" i="4" s="1"/>
  <c r="G476" i="4"/>
  <c r="I476" i="4"/>
  <c r="M476" i="4" s="1"/>
  <c r="H478" i="4"/>
  <c r="H482" i="4"/>
  <c r="H479" i="4"/>
  <c r="H483" i="4"/>
  <c r="H484" i="4"/>
  <c r="H475" i="4"/>
  <c r="H480" i="4"/>
  <c r="H477" i="4"/>
  <c r="H481" i="4"/>
  <c r="H485" i="4"/>
  <c r="K476" i="4" l="1"/>
  <c r="I70" i="2"/>
  <c r="I69" i="2"/>
  <c r="I68" i="2"/>
  <c r="I66" i="2"/>
  <c r="I58" i="2"/>
  <c r="I54" i="2"/>
  <c r="I50" i="2"/>
  <c r="I44" i="2"/>
  <c r="I38" i="2"/>
  <c r="I37" i="2"/>
  <c r="I36" i="2"/>
  <c r="I35" i="2"/>
  <c r="I34" i="2"/>
  <c r="I31" i="2"/>
  <c r="I30" i="2"/>
  <c r="I29" i="2"/>
  <c r="I28" i="2"/>
  <c r="I26" i="2"/>
  <c r="F6" i="10" s="1"/>
  <c r="N6" i="10" s="1"/>
  <c r="I25" i="2"/>
  <c r="F4" i="10" s="1"/>
  <c r="N4" i="10" s="1"/>
  <c r="I24" i="2"/>
  <c r="I23" i="2"/>
  <c r="I22" i="2"/>
  <c r="F2" i="10" s="1"/>
  <c r="N2" i="10" s="1"/>
  <c r="I20" i="2"/>
  <c r="I19" i="2"/>
  <c r="I18" i="2"/>
  <c r="I17" i="2"/>
  <c r="I16" i="2"/>
  <c r="I14" i="2"/>
  <c r="I13" i="2"/>
  <c r="I12" i="2"/>
  <c r="I11" i="2"/>
  <c r="I10" i="2"/>
  <c r="F6" i="2"/>
  <c r="H62" i="2"/>
  <c r="Q6" i="10" l="1"/>
  <c r="O6" i="10"/>
  <c r="P6" i="10"/>
  <c r="O4" i="10"/>
  <c r="P4" i="10"/>
  <c r="Q4" i="10"/>
  <c r="P2" i="10"/>
  <c r="O2" i="10"/>
  <c r="Q2" i="10"/>
  <c r="H32" i="2"/>
  <c r="I32" i="2"/>
  <c r="I64" i="2"/>
  <c r="I67" i="2"/>
  <c r="I42" i="2"/>
  <c r="I46" i="2"/>
  <c r="I51" i="2"/>
  <c r="I56" i="2"/>
  <c r="I49" i="2"/>
  <c r="I45" i="2"/>
  <c r="I55" i="2"/>
  <c r="I43" i="2"/>
  <c r="I48" i="2"/>
  <c r="I52" i="2"/>
  <c r="I57" i="2"/>
  <c r="H31" i="2"/>
  <c r="H64" i="2"/>
  <c r="H60" i="2"/>
  <c r="H61" i="2"/>
  <c r="H63" i="2"/>
  <c r="H29" i="2"/>
  <c r="H30" i="2"/>
  <c r="H28" i="2"/>
  <c r="I61" i="2" l="1"/>
  <c r="I63" i="2"/>
  <c r="I60" i="2"/>
  <c r="I62" i="2"/>
  <c r="H70" i="2" l="1"/>
  <c r="H68" i="2"/>
  <c r="H66" i="2"/>
  <c r="H57" i="2"/>
  <c r="H55" i="2"/>
  <c r="H52" i="2"/>
  <c r="H50" i="2"/>
  <c r="H48" i="2"/>
  <c r="H45" i="2"/>
  <c r="H43" i="2"/>
  <c r="H38" i="2"/>
  <c r="H36" i="2"/>
  <c r="H34" i="2"/>
  <c r="H25" i="2"/>
  <c r="H23" i="2"/>
  <c r="H22" i="2"/>
  <c r="H20" i="2"/>
  <c r="H18" i="2"/>
  <c r="H16" i="2"/>
  <c r="H13" i="2"/>
  <c r="H11" i="2"/>
  <c r="H67" i="2" l="1"/>
  <c r="H69" i="2"/>
  <c r="H35" i="2"/>
  <c r="H37" i="2"/>
  <c r="H10" i="2"/>
  <c r="H12" i="2"/>
  <c r="H14" i="2"/>
  <c r="H17" i="2"/>
  <c r="H19" i="2"/>
  <c r="H24" i="2"/>
  <c r="H26" i="2"/>
  <c r="H42" i="2"/>
  <c r="H44" i="2"/>
  <c r="H46" i="2"/>
  <c r="H49" i="2"/>
  <c r="H51" i="2"/>
  <c r="H54" i="2"/>
  <c r="H56" i="2"/>
  <c r="H58" i="2"/>
  <c r="D75" i="5" l="1"/>
  <c r="D74" i="5"/>
  <c r="D73" i="5"/>
  <c r="D72" i="5"/>
  <c r="D70" i="5"/>
  <c r="D69" i="5"/>
  <c r="D68" i="5"/>
  <c r="D67" i="5"/>
  <c r="D49" i="5"/>
  <c r="D50" i="5" s="1"/>
  <c r="F79" i="5" l="1"/>
  <c r="F85" i="5"/>
  <c r="F86" i="5"/>
  <c r="F87" i="5"/>
  <c r="F88" i="5"/>
  <c r="F84" i="5"/>
  <c r="F77" i="5"/>
  <c r="F65" i="5"/>
  <c r="F78" i="5"/>
  <c r="E9" i="7" l="1"/>
  <c r="H9" i="7" s="1"/>
  <c r="H4" i="7"/>
  <c r="E7" i="7"/>
  <c r="G7" i="7" s="1"/>
  <c r="E6" i="7"/>
  <c r="H6" i="7" s="1"/>
  <c r="H3" i="7"/>
  <c r="G3" i="7"/>
  <c r="H2" i="7"/>
  <c r="G2" i="7"/>
  <c r="H7" i="7" l="1"/>
  <c r="K3" i="7"/>
  <c r="K2" i="7"/>
  <c r="K7" i="7"/>
  <c r="I7" i="7"/>
  <c r="J7" i="7" s="1"/>
  <c r="G9" i="7"/>
  <c r="G6" i="7"/>
  <c r="K6" i="7" l="1"/>
  <c r="I6" i="7"/>
  <c r="J6" i="7" s="1"/>
  <c r="K9" i="7"/>
  <c r="I9" i="7"/>
  <c r="J9" i="7" s="1"/>
  <c r="F61" i="5"/>
  <c r="L460" i="4"/>
  <c r="G358" i="4" s="1"/>
  <c r="I358" i="4" s="1"/>
  <c r="B460" i="4"/>
  <c r="F358" i="4" s="1"/>
  <c r="O460" i="4"/>
  <c r="I460" i="4"/>
  <c r="M460" i="4" s="1"/>
  <c r="G460" i="4"/>
  <c r="K460" i="4" l="1"/>
  <c r="H358" i="4"/>
  <c r="L461" i="4"/>
  <c r="G359" i="4" s="1"/>
  <c r="I359" i="4" s="1"/>
  <c r="G461" i="4"/>
  <c r="B461" i="4"/>
  <c r="F359" i="4" s="1"/>
  <c r="D461" i="4"/>
  <c r="K461" i="4" l="1"/>
  <c r="H359" i="4"/>
  <c r="I461" i="4"/>
  <c r="M461" i="4" s="1"/>
  <c r="L482" i="4"/>
  <c r="G380" i="4" s="1"/>
  <c r="I380" i="4" s="1"/>
  <c r="B482" i="4"/>
  <c r="F380" i="4" s="1"/>
  <c r="L479" i="4"/>
  <c r="G377" i="4" s="1"/>
  <c r="I377" i="4" s="1"/>
  <c r="B479" i="4"/>
  <c r="F377" i="4" s="1"/>
  <c r="I482" i="4" l="1"/>
  <c r="M482" i="4" s="1"/>
  <c r="G482" i="4"/>
  <c r="I479" i="4"/>
  <c r="M479" i="4" s="1"/>
  <c r="G479" i="4"/>
  <c r="D64" i="5"/>
  <c r="D63" i="5"/>
  <c r="K479" i="4" l="1"/>
  <c r="H377" i="4"/>
  <c r="K482" i="4"/>
  <c r="H380" i="4"/>
  <c r="F67" i="5"/>
  <c r="I429" i="4" l="1"/>
  <c r="M429" i="4" s="1"/>
  <c r="L429" i="4"/>
  <c r="G327" i="4" s="1"/>
  <c r="I327" i="4" s="1"/>
  <c r="G429" i="4"/>
  <c r="K429" i="4" l="1"/>
  <c r="H327" i="4"/>
  <c r="H446" i="4"/>
  <c r="H445" i="4"/>
  <c r="H444" i="4"/>
  <c r="H442" i="4"/>
  <c r="H441" i="4"/>
  <c r="H440" i="4"/>
  <c r="H439" i="4"/>
  <c r="H438" i="4"/>
  <c r="H437" i="4"/>
  <c r="F83" i="5" l="1"/>
  <c r="F82" i="5"/>
  <c r="F81" i="5"/>
  <c r="F80" i="5"/>
  <c r="F76" i="5"/>
  <c r="F75" i="5"/>
  <c r="F74" i="5"/>
  <c r="F73" i="5"/>
  <c r="F68" i="5"/>
  <c r="F66" i="5"/>
  <c r="F64" i="5"/>
  <c r="F63" i="5"/>
  <c r="F62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" i="5"/>
  <c r="C72" i="5"/>
  <c r="F72" i="5" s="1"/>
  <c r="C71" i="5"/>
  <c r="F71" i="5" s="1"/>
  <c r="F70" i="5"/>
  <c r="F69" i="5"/>
  <c r="F89" i="5" l="1"/>
  <c r="B485" i="4"/>
  <c r="F383" i="4" s="1"/>
  <c r="B484" i="4"/>
  <c r="F382" i="4" s="1"/>
  <c r="B483" i="4"/>
  <c r="F381" i="4" s="1"/>
  <c r="B481" i="4"/>
  <c r="F379" i="4" s="1"/>
  <c r="B480" i="4"/>
  <c r="F378" i="4" s="1"/>
  <c r="B478" i="4"/>
  <c r="F376" i="4" s="1"/>
  <c r="B477" i="4"/>
  <c r="F375" i="4" s="1"/>
  <c r="B475" i="4"/>
  <c r="B473" i="4"/>
  <c r="F371" i="4" s="1"/>
  <c r="B476" i="4" l="1"/>
  <c r="F374" i="4" s="1"/>
  <c r="H374" i="4" s="1"/>
  <c r="F373" i="4"/>
  <c r="L485" i="4"/>
  <c r="G383" i="4" s="1"/>
  <c r="I383" i="4" s="1"/>
  <c r="I484" i="4"/>
  <c r="M484" i="4" s="1"/>
  <c r="L483" i="4"/>
  <c r="G381" i="4" s="1"/>
  <c r="I381" i="4" s="1"/>
  <c r="L481" i="4"/>
  <c r="G379" i="4" s="1"/>
  <c r="I379" i="4" s="1"/>
  <c r="I481" i="4"/>
  <c r="M481" i="4" s="1"/>
  <c r="L480" i="4"/>
  <c r="G378" i="4" s="1"/>
  <c r="I478" i="4"/>
  <c r="M478" i="4" s="1"/>
  <c r="L477" i="4"/>
  <c r="G375" i="4" s="1"/>
  <c r="I375" i="4" s="1"/>
  <c r="I475" i="4"/>
  <c r="M475" i="4" s="1"/>
  <c r="G474" i="4"/>
  <c r="H372" i="4" s="1"/>
  <c r="I473" i="4"/>
  <c r="I378" i="4" l="1"/>
  <c r="G473" i="4"/>
  <c r="G481" i="4"/>
  <c r="I474" i="4"/>
  <c r="M474" i="4" s="1"/>
  <c r="I477" i="4"/>
  <c r="M477" i="4" s="1"/>
  <c r="G475" i="4"/>
  <c r="G478" i="4"/>
  <c r="I480" i="4"/>
  <c r="M480" i="4" s="1"/>
  <c r="L484" i="4"/>
  <c r="G382" i="4" s="1"/>
  <c r="L475" i="4"/>
  <c r="G373" i="4" s="1"/>
  <c r="I373" i="4" s="1"/>
  <c r="I483" i="4"/>
  <c r="M483" i="4" s="1"/>
  <c r="L478" i="4"/>
  <c r="G376" i="4" s="1"/>
  <c r="G484" i="4"/>
  <c r="I485" i="4"/>
  <c r="M485" i="4" s="1"/>
  <c r="G477" i="4"/>
  <c r="G480" i="4"/>
  <c r="G483" i="4"/>
  <c r="G485" i="4"/>
  <c r="L473" i="4"/>
  <c r="G371" i="4" s="1"/>
  <c r="I371" i="4" s="1"/>
  <c r="M473" i="4"/>
  <c r="I382" i="4" l="1"/>
  <c r="I376" i="4"/>
  <c r="K475" i="4"/>
  <c r="H373" i="4"/>
  <c r="K473" i="4"/>
  <c r="H371" i="4"/>
  <c r="K483" i="4"/>
  <c r="H381" i="4"/>
  <c r="K484" i="4"/>
  <c r="H382" i="4"/>
  <c r="K485" i="4"/>
  <c r="H383" i="4"/>
  <c r="K480" i="4"/>
  <c r="H378" i="4"/>
  <c r="K477" i="4"/>
  <c r="H375" i="4"/>
  <c r="K478" i="4"/>
  <c r="H376" i="4"/>
  <c r="K481" i="4"/>
  <c r="H379" i="4"/>
  <c r="O474" i="4"/>
  <c r="O467" i="4"/>
  <c r="O466" i="4"/>
  <c r="O465" i="4"/>
  <c r="O464" i="4"/>
  <c r="O463" i="4"/>
  <c r="O462" i="4"/>
  <c r="O459" i="4"/>
  <c r="G467" i="4"/>
  <c r="H365" i="4" s="1"/>
  <c r="G462" i="4"/>
  <c r="H360" i="4" s="1"/>
  <c r="G459" i="4"/>
  <c r="H357" i="4" s="1"/>
  <c r="G458" i="4"/>
  <c r="H356" i="4" s="1"/>
  <c r="G457" i="4"/>
  <c r="H355" i="4" s="1"/>
  <c r="G456" i="4"/>
  <c r="H354" i="4" s="1"/>
  <c r="G455" i="4"/>
  <c r="H353" i="4" s="1"/>
  <c r="G454" i="4"/>
  <c r="H352" i="4" s="1"/>
  <c r="G453" i="4"/>
  <c r="H351" i="4" s="1"/>
  <c r="G452" i="4"/>
  <c r="H350" i="4" s="1"/>
  <c r="G451" i="4"/>
  <c r="H349" i="4" s="1"/>
  <c r="G450" i="4"/>
  <c r="H348" i="4" s="1"/>
  <c r="G449" i="4"/>
  <c r="H347" i="4" s="1"/>
  <c r="G430" i="4"/>
  <c r="H328" i="4" s="1"/>
  <c r="G421" i="4"/>
  <c r="H319" i="4" s="1"/>
  <c r="G398" i="4"/>
  <c r="I467" i="4"/>
  <c r="I462" i="4"/>
  <c r="I459" i="4"/>
  <c r="I458" i="4"/>
  <c r="I457" i="4"/>
  <c r="I456" i="4"/>
  <c r="I455" i="4"/>
  <c r="I454" i="4"/>
  <c r="I453" i="4"/>
  <c r="I452" i="4"/>
  <c r="I451" i="4"/>
  <c r="I450" i="4"/>
  <c r="I449" i="4"/>
  <c r="I430" i="4"/>
  <c r="I421" i="4"/>
  <c r="I398" i="4"/>
  <c r="H431" i="4"/>
  <c r="H422" i="4"/>
  <c r="H399" i="4"/>
  <c r="H463" i="4"/>
  <c r="F472" i="4"/>
  <c r="C370" i="4" s="1"/>
  <c r="E370" i="4" s="1"/>
  <c r="F471" i="4"/>
  <c r="C369" i="4" s="1"/>
  <c r="E369" i="4" s="1"/>
  <c r="F470" i="4"/>
  <c r="C368" i="4" s="1"/>
  <c r="E368" i="4" s="1"/>
  <c r="F469" i="4"/>
  <c r="C367" i="4" s="1"/>
  <c r="E367" i="4" s="1"/>
  <c r="F468" i="4"/>
  <c r="O468" i="4" l="1"/>
  <c r="C366" i="4"/>
  <c r="E366" i="4" s="1"/>
  <c r="G468" i="4"/>
  <c r="H366" i="4" s="1"/>
  <c r="H423" i="4"/>
  <c r="G423" i="4" s="1"/>
  <c r="H321" i="4" s="1"/>
  <c r="H464" i="4"/>
  <c r="H469" i="4"/>
  <c r="H432" i="4"/>
  <c r="H433" i="4"/>
  <c r="O470" i="4"/>
  <c r="B470" i="4"/>
  <c r="F368" i="4" s="1"/>
  <c r="O471" i="4"/>
  <c r="B471" i="4"/>
  <c r="F369" i="4" s="1"/>
  <c r="O472" i="4"/>
  <c r="B472" i="4"/>
  <c r="F370" i="4" s="1"/>
  <c r="O469" i="4"/>
  <c r="B469" i="4"/>
  <c r="F367" i="4" s="1"/>
  <c r="H400" i="4"/>
  <c r="G469" i="4"/>
  <c r="I463" i="4"/>
  <c r="G463" i="4"/>
  <c r="H361" i="4" s="1"/>
  <c r="I468" i="4"/>
  <c r="I431" i="4"/>
  <c r="I436" i="4"/>
  <c r="G439" i="4"/>
  <c r="H337" i="4" s="1"/>
  <c r="I437" i="4"/>
  <c r="G431" i="4"/>
  <c r="H329" i="4" s="1"/>
  <c r="G436" i="4"/>
  <c r="H334" i="4" s="1"/>
  <c r="I438" i="4"/>
  <c r="G437" i="4"/>
  <c r="H335" i="4" s="1"/>
  <c r="I439" i="4"/>
  <c r="G438" i="4"/>
  <c r="H336" i="4" s="1"/>
  <c r="I399" i="4"/>
  <c r="I422" i="4"/>
  <c r="G422" i="4"/>
  <c r="H320" i="4" s="1"/>
  <c r="G399" i="4"/>
  <c r="H367" i="4" l="1"/>
  <c r="I423" i="4"/>
  <c r="H470" i="4"/>
  <c r="I470" i="4" s="1"/>
  <c r="H465" i="4"/>
  <c r="H466" i="4" s="1"/>
  <c r="I469" i="4"/>
  <c r="H434" i="4"/>
  <c r="G434" i="4" s="1"/>
  <c r="H332" i="4" s="1"/>
  <c r="H424" i="4"/>
  <c r="G400" i="4"/>
  <c r="H298" i="4" s="1"/>
  <c r="I400" i="4"/>
  <c r="I432" i="4"/>
  <c r="G432" i="4"/>
  <c r="H330" i="4" s="1"/>
  <c r="G464" i="4"/>
  <c r="H362" i="4" s="1"/>
  <c r="I464" i="4"/>
  <c r="I433" i="4"/>
  <c r="M433" i="4" s="1"/>
  <c r="G433" i="4"/>
  <c r="L433" i="4"/>
  <c r="G331" i="4" s="1"/>
  <c r="I331" i="4" s="1"/>
  <c r="H401" i="4"/>
  <c r="K433" i="4" l="1"/>
  <c r="H331" i="4"/>
  <c r="I434" i="4"/>
  <c r="I465" i="4"/>
  <c r="H471" i="4"/>
  <c r="G471" i="4" s="1"/>
  <c r="H369" i="4" s="1"/>
  <c r="G465" i="4"/>
  <c r="H363" i="4" s="1"/>
  <c r="G470" i="4"/>
  <c r="H368" i="4" s="1"/>
  <c r="G424" i="4"/>
  <c r="H322" i="4" s="1"/>
  <c r="H425" i="4"/>
  <c r="I424" i="4"/>
  <c r="H435" i="4"/>
  <c r="I440" i="4"/>
  <c r="G440" i="4"/>
  <c r="H338" i="4" s="1"/>
  <c r="H402" i="4"/>
  <c r="I401" i="4"/>
  <c r="G401" i="4"/>
  <c r="H472" i="4"/>
  <c r="I466" i="4"/>
  <c r="G466" i="4"/>
  <c r="H364" i="4" s="1"/>
  <c r="I471" i="4" l="1"/>
  <c r="I425" i="4"/>
  <c r="H426" i="4"/>
  <c r="G425" i="4"/>
  <c r="H323" i="4" s="1"/>
  <c r="G435" i="4"/>
  <c r="H333" i="4" s="1"/>
  <c r="I435" i="4"/>
  <c r="I441" i="4"/>
  <c r="G441" i="4"/>
  <c r="H339" i="4" s="1"/>
  <c r="H403" i="4"/>
  <c r="G402" i="4"/>
  <c r="H300" i="4" s="1"/>
  <c r="I402" i="4"/>
  <c r="G472" i="4"/>
  <c r="H370" i="4" s="1"/>
  <c r="I472" i="4"/>
  <c r="H427" i="4" l="1"/>
  <c r="I426" i="4"/>
  <c r="G426" i="4"/>
  <c r="H324" i="4" s="1"/>
  <c r="I442" i="4"/>
  <c r="G442" i="4"/>
  <c r="H340" i="4" s="1"/>
  <c r="H404" i="4"/>
  <c r="I403" i="4"/>
  <c r="G403" i="4"/>
  <c r="H428" i="4" l="1"/>
  <c r="G427" i="4"/>
  <c r="H325" i="4" s="1"/>
  <c r="I427" i="4"/>
  <c r="G443" i="4"/>
  <c r="H341" i="4" s="1"/>
  <c r="I443" i="4"/>
  <c r="H405" i="4"/>
  <c r="I404" i="4"/>
  <c r="G404" i="4"/>
  <c r="H302" i="4" s="1"/>
  <c r="G428" i="4" l="1"/>
  <c r="H326" i="4" s="1"/>
  <c r="I428" i="4"/>
  <c r="I444" i="4"/>
  <c r="G444" i="4"/>
  <c r="H342" i="4" s="1"/>
  <c r="H406" i="4"/>
  <c r="I405" i="4"/>
  <c r="G405" i="4"/>
  <c r="I445" i="4" l="1"/>
  <c r="G445" i="4"/>
  <c r="H343" i="4" s="1"/>
  <c r="H407" i="4"/>
  <c r="G406" i="4"/>
  <c r="H304" i="4" s="1"/>
  <c r="I406" i="4"/>
  <c r="I446" i="4" l="1"/>
  <c r="G446" i="4"/>
  <c r="H344" i="4" s="1"/>
  <c r="H408" i="4"/>
  <c r="I407" i="4"/>
  <c r="G407" i="4"/>
  <c r="H305" i="4" s="1"/>
  <c r="G447" i="4" l="1"/>
  <c r="H345" i="4" s="1"/>
  <c r="I447" i="4"/>
  <c r="H409" i="4"/>
  <c r="I408" i="4"/>
  <c r="G408" i="4"/>
  <c r="H306" i="4" s="1"/>
  <c r="G448" i="4" l="1"/>
  <c r="H346" i="4" s="1"/>
  <c r="I448" i="4"/>
  <c r="H410" i="4"/>
  <c r="I409" i="4"/>
  <c r="G409" i="4"/>
  <c r="H307" i="4" s="1"/>
  <c r="H411" i="4" l="1"/>
  <c r="I410" i="4"/>
  <c r="G410" i="4"/>
  <c r="H308" i="4" s="1"/>
  <c r="H412" i="4" l="1"/>
  <c r="G411" i="4"/>
  <c r="H309" i="4" s="1"/>
  <c r="I411" i="4"/>
  <c r="H413" i="4" l="1"/>
  <c r="G412" i="4"/>
  <c r="H310" i="4" s="1"/>
  <c r="I412" i="4"/>
  <c r="H414" i="4" l="1"/>
  <c r="G413" i="4"/>
  <c r="H311" i="4" s="1"/>
  <c r="I413" i="4"/>
  <c r="H415" i="4" l="1"/>
  <c r="I414" i="4"/>
  <c r="G414" i="4"/>
  <c r="H312" i="4" s="1"/>
  <c r="H416" i="4" l="1"/>
  <c r="G415" i="4"/>
  <c r="H313" i="4" s="1"/>
  <c r="I415" i="4"/>
  <c r="H417" i="4" l="1"/>
  <c r="G416" i="4"/>
  <c r="H314" i="4" s="1"/>
  <c r="I416" i="4"/>
  <c r="H418" i="4" l="1"/>
  <c r="G417" i="4"/>
  <c r="H315" i="4" s="1"/>
  <c r="I417" i="4"/>
  <c r="H419" i="4" l="1"/>
  <c r="I418" i="4"/>
  <c r="G418" i="4"/>
  <c r="H316" i="4" s="1"/>
  <c r="H420" i="4" l="1"/>
  <c r="I419" i="4"/>
  <c r="G419" i="4"/>
  <c r="H317" i="4" s="1"/>
  <c r="G420" i="4" l="1"/>
  <c r="H318" i="4" s="1"/>
  <c r="I420" i="4"/>
  <c r="B3" i="4" l="1"/>
  <c r="E3" i="4" s="1"/>
  <c r="B7" i="4"/>
  <c r="E7" i="4" s="1"/>
  <c r="C386" i="4"/>
  <c r="G386" i="4" s="1"/>
  <c r="I386" i="4" s="1"/>
  <c r="H385" i="4"/>
  <c r="B9" i="4"/>
  <c r="E9" i="4" s="1"/>
  <c r="B12" i="4"/>
  <c r="E12" i="4" s="1"/>
  <c r="C385" i="4"/>
  <c r="C10" i="4"/>
  <c r="B6" i="4"/>
  <c r="E6" i="4" s="1"/>
  <c r="C5" i="4"/>
  <c r="B4" i="4"/>
  <c r="E4" i="4" s="1"/>
  <c r="B11" i="4"/>
  <c r="E11" i="4" s="1"/>
  <c r="B8" i="4"/>
  <c r="E8" i="4" s="1"/>
  <c r="B385" i="4"/>
  <c r="C9" i="4"/>
  <c r="C7" i="4"/>
  <c r="C8" i="4"/>
  <c r="B10" i="4"/>
  <c r="E10" i="4" s="1"/>
  <c r="B5" i="4"/>
  <c r="E5" i="4" s="1"/>
  <c r="C11" i="4"/>
  <c r="B386" i="4"/>
  <c r="H386" i="4"/>
  <c r="E296" i="4"/>
  <c r="H296" i="4"/>
  <c r="L474" i="4"/>
  <c r="G372" i="4" s="1"/>
  <c r="I372" i="4" s="1"/>
  <c r="L472" i="4"/>
  <c r="G370" i="4" s="1"/>
  <c r="I370" i="4" s="1"/>
  <c r="L471" i="4"/>
  <c r="G369" i="4" s="1"/>
  <c r="I369" i="4" s="1"/>
  <c r="L470" i="4"/>
  <c r="G368" i="4" s="1"/>
  <c r="I368" i="4" s="1"/>
  <c r="L469" i="4"/>
  <c r="G367" i="4" s="1"/>
  <c r="I367" i="4" s="1"/>
  <c r="L468" i="4"/>
  <c r="L467" i="4"/>
  <c r="G365" i="4" s="1"/>
  <c r="I365" i="4" s="1"/>
  <c r="L466" i="4"/>
  <c r="G364" i="4" s="1"/>
  <c r="I364" i="4" s="1"/>
  <c r="L465" i="4"/>
  <c r="G363" i="4" s="1"/>
  <c r="I363" i="4" s="1"/>
  <c r="L464" i="4"/>
  <c r="G362" i="4" s="1"/>
  <c r="I362" i="4" s="1"/>
  <c r="L463" i="4"/>
  <c r="G361" i="4" s="1"/>
  <c r="I361" i="4" s="1"/>
  <c r="L462" i="4"/>
  <c r="G360" i="4" s="1"/>
  <c r="I360" i="4" s="1"/>
  <c r="L459" i="4"/>
  <c r="G357" i="4" s="1"/>
  <c r="I357" i="4" s="1"/>
  <c r="L458" i="4"/>
  <c r="G356" i="4" s="1"/>
  <c r="I356" i="4" s="1"/>
  <c r="L457" i="4"/>
  <c r="G355" i="4" s="1"/>
  <c r="I355" i="4" s="1"/>
  <c r="L456" i="4"/>
  <c r="G354" i="4" s="1"/>
  <c r="S9" i="4" s="1"/>
  <c r="L455" i="4"/>
  <c r="G353" i="4" s="1"/>
  <c r="I353" i="4" s="1"/>
  <c r="L454" i="4"/>
  <c r="G352" i="4" s="1"/>
  <c r="S8" i="4" s="1"/>
  <c r="L453" i="4"/>
  <c r="G351" i="4" s="1"/>
  <c r="S7" i="4" s="1"/>
  <c r="L452" i="4"/>
  <c r="G350" i="4" s="1"/>
  <c r="S6" i="4" s="1"/>
  <c r="L451" i="4"/>
  <c r="G349" i="4" s="1"/>
  <c r="I349" i="4" s="1"/>
  <c r="L450" i="4"/>
  <c r="G348" i="4" s="1"/>
  <c r="I348" i="4" s="1"/>
  <c r="L449" i="4"/>
  <c r="G347" i="4" s="1"/>
  <c r="I347" i="4" s="1"/>
  <c r="L448" i="4"/>
  <c r="G346" i="4" s="1"/>
  <c r="S5" i="4" s="1"/>
  <c r="L447" i="4"/>
  <c r="G345" i="4" s="1"/>
  <c r="S4" i="4" s="1"/>
  <c r="L446" i="4"/>
  <c r="G344" i="4" s="1"/>
  <c r="I344" i="4" s="1"/>
  <c r="L445" i="4"/>
  <c r="G343" i="4" s="1"/>
  <c r="I343" i="4" s="1"/>
  <c r="L444" i="4"/>
  <c r="G342" i="4" s="1"/>
  <c r="I342" i="4" s="1"/>
  <c r="L443" i="4"/>
  <c r="L442" i="4"/>
  <c r="G340" i="4" s="1"/>
  <c r="I340" i="4" s="1"/>
  <c r="L441" i="4"/>
  <c r="G339" i="4" s="1"/>
  <c r="I339" i="4" s="1"/>
  <c r="L440" i="4"/>
  <c r="G338" i="4" s="1"/>
  <c r="I338" i="4" s="1"/>
  <c r="L439" i="4"/>
  <c r="G337" i="4" s="1"/>
  <c r="I337" i="4" s="1"/>
  <c r="L438" i="4"/>
  <c r="G336" i="4" s="1"/>
  <c r="I336" i="4" s="1"/>
  <c r="L437" i="4"/>
  <c r="G335" i="4" s="1"/>
  <c r="I335" i="4" s="1"/>
  <c r="L436" i="4"/>
  <c r="G334" i="4" s="1"/>
  <c r="I334" i="4" s="1"/>
  <c r="L435" i="4"/>
  <c r="G333" i="4" s="1"/>
  <c r="I333" i="4" s="1"/>
  <c r="L434" i="4"/>
  <c r="G332" i="4" s="1"/>
  <c r="I332" i="4" s="1"/>
  <c r="L432" i="4"/>
  <c r="G330" i="4" s="1"/>
  <c r="I330" i="4" s="1"/>
  <c r="L431" i="4"/>
  <c r="G329" i="4" s="1"/>
  <c r="I329" i="4" s="1"/>
  <c r="L430" i="4"/>
  <c r="G328" i="4" s="1"/>
  <c r="I328" i="4" s="1"/>
  <c r="L428" i="4"/>
  <c r="G326" i="4" s="1"/>
  <c r="I326" i="4" s="1"/>
  <c r="L427" i="4"/>
  <c r="G325" i="4" s="1"/>
  <c r="I325" i="4" s="1"/>
  <c r="L426" i="4"/>
  <c r="G324" i="4" s="1"/>
  <c r="I324" i="4" s="1"/>
  <c r="L425" i="4"/>
  <c r="G323" i="4" s="1"/>
  <c r="I323" i="4" s="1"/>
  <c r="L424" i="4"/>
  <c r="G322" i="4" s="1"/>
  <c r="I322" i="4" s="1"/>
  <c r="L423" i="4"/>
  <c r="G321" i="4" s="1"/>
  <c r="I321" i="4" s="1"/>
  <c r="L422" i="4"/>
  <c r="G320" i="4" s="1"/>
  <c r="I320" i="4" s="1"/>
  <c r="L421" i="4"/>
  <c r="G319" i="4" s="1"/>
  <c r="I319" i="4" s="1"/>
  <c r="L420" i="4"/>
  <c r="G318" i="4" s="1"/>
  <c r="I318" i="4" s="1"/>
  <c r="L419" i="4"/>
  <c r="G317" i="4" s="1"/>
  <c r="I317" i="4" s="1"/>
  <c r="L418" i="4"/>
  <c r="G316" i="4" s="1"/>
  <c r="I316" i="4" s="1"/>
  <c r="L417" i="4"/>
  <c r="G315" i="4" s="1"/>
  <c r="I315" i="4" s="1"/>
  <c r="L416" i="4"/>
  <c r="G314" i="4" s="1"/>
  <c r="I314" i="4" s="1"/>
  <c r="L415" i="4"/>
  <c r="G313" i="4" s="1"/>
  <c r="I313" i="4" s="1"/>
  <c r="L414" i="4"/>
  <c r="G312" i="4" s="1"/>
  <c r="I312" i="4" s="1"/>
  <c r="L413" i="4"/>
  <c r="G311" i="4" s="1"/>
  <c r="I311" i="4" s="1"/>
  <c r="L412" i="4"/>
  <c r="G310" i="4" s="1"/>
  <c r="I310" i="4" s="1"/>
  <c r="L411" i="4"/>
  <c r="G309" i="4" s="1"/>
  <c r="I309" i="4" s="1"/>
  <c r="L410" i="4"/>
  <c r="G308" i="4" s="1"/>
  <c r="I308" i="4" s="1"/>
  <c r="L409" i="4"/>
  <c r="G307" i="4" s="1"/>
  <c r="I307" i="4" s="1"/>
  <c r="L408" i="4"/>
  <c r="G306" i="4" s="1"/>
  <c r="I306" i="4" s="1"/>
  <c r="L407" i="4"/>
  <c r="G305" i="4" s="1"/>
  <c r="I305" i="4" s="1"/>
  <c r="L406" i="4"/>
  <c r="G304" i="4" s="1"/>
  <c r="I304" i="4" s="1"/>
  <c r="L405" i="4"/>
  <c r="G303" i="4" s="1"/>
  <c r="I303" i="4" s="1"/>
  <c r="L404" i="4"/>
  <c r="G302" i="4" s="1"/>
  <c r="I302" i="4" s="1"/>
  <c r="L403" i="4"/>
  <c r="G301" i="4" s="1"/>
  <c r="I301" i="4" s="1"/>
  <c r="L402" i="4"/>
  <c r="G300" i="4" s="1"/>
  <c r="I300" i="4" s="1"/>
  <c r="L401" i="4"/>
  <c r="G299" i="4" s="1"/>
  <c r="I299" i="4" s="1"/>
  <c r="L400" i="4"/>
  <c r="G298" i="4" s="1"/>
  <c r="S3" i="4" s="1"/>
  <c r="L399" i="4"/>
  <c r="G297" i="4" s="1"/>
  <c r="I297" i="4" s="1"/>
  <c r="L398" i="4"/>
  <c r="G296" i="4" s="1"/>
  <c r="M459" i="4"/>
  <c r="M458" i="4"/>
  <c r="M457" i="4"/>
  <c r="M456" i="4"/>
  <c r="M455" i="4"/>
  <c r="M454" i="4"/>
  <c r="M453" i="4"/>
  <c r="M452" i="4"/>
  <c r="M451" i="4"/>
  <c r="M450" i="4"/>
  <c r="M449" i="4"/>
  <c r="M448" i="4"/>
  <c r="M447" i="4"/>
  <c r="M446" i="4"/>
  <c r="M445" i="4"/>
  <c r="M444" i="4"/>
  <c r="M443" i="4"/>
  <c r="M442" i="4"/>
  <c r="M441" i="4"/>
  <c r="M440" i="4"/>
  <c r="M439" i="4"/>
  <c r="M438" i="4"/>
  <c r="M437" i="4"/>
  <c r="M436" i="4"/>
  <c r="M435" i="4"/>
  <c r="M434" i="4"/>
  <c r="M432" i="4"/>
  <c r="M431" i="4"/>
  <c r="M430" i="4"/>
  <c r="M428" i="4"/>
  <c r="M427" i="4"/>
  <c r="M426" i="4"/>
  <c r="M425" i="4"/>
  <c r="M424" i="4"/>
  <c r="M423" i="4"/>
  <c r="M422" i="4"/>
  <c r="M421" i="4"/>
  <c r="M420" i="4"/>
  <c r="M419" i="4"/>
  <c r="M418" i="4"/>
  <c r="M417" i="4"/>
  <c r="M416" i="4"/>
  <c r="M415" i="4"/>
  <c r="M414" i="4"/>
  <c r="M413" i="4"/>
  <c r="M412" i="4"/>
  <c r="M411" i="4"/>
  <c r="M410" i="4"/>
  <c r="M409" i="4"/>
  <c r="M408" i="4"/>
  <c r="M407" i="4"/>
  <c r="M406" i="4"/>
  <c r="M405" i="4"/>
  <c r="M404" i="4"/>
  <c r="M403" i="4"/>
  <c r="M402" i="4"/>
  <c r="M401" i="4"/>
  <c r="M400" i="4"/>
  <c r="M399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2" i="4"/>
  <c r="K431" i="4"/>
  <c r="K430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M398" i="4"/>
  <c r="W4" i="4" l="1"/>
  <c r="W3" i="4" s="1"/>
  <c r="W6" i="4" s="1"/>
  <c r="I350" i="4"/>
  <c r="U6" i="4"/>
  <c r="I351" i="4"/>
  <c r="U7" i="4"/>
  <c r="I298" i="4"/>
  <c r="U3" i="4"/>
  <c r="I352" i="4"/>
  <c r="U8" i="4"/>
  <c r="I346" i="4"/>
  <c r="U5" i="4"/>
  <c r="I354" i="4"/>
  <c r="U9" i="4"/>
  <c r="I345" i="4"/>
  <c r="U4" i="4"/>
  <c r="G341" i="4"/>
  <c r="I341" i="4" s="1"/>
  <c r="E13" i="4"/>
  <c r="E27" i="10"/>
  <c r="G27" i="10" s="1"/>
  <c r="H27" i="10" s="1"/>
  <c r="G366" i="4"/>
  <c r="S10" i="4" s="1"/>
  <c r="H3" i="4"/>
  <c r="C3" i="4"/>
  <c r="G3" i="4"/>
  <c r="I3" i="4" s="1"/>
  <c r="F5" i="4"/>
  <c r="H5" i="4" s="1"/>
  <c r="F7" i="4"/>
  <c r="H7" i="4" s="1"/>
  <c r="F8" i="4"/>
  <c r="H8" i="4" s="1"/>
  <c r="C6" i="4"/>
  <c r="F4" i="4"/>
  <c r="H4" i="4" s="1"/>
  <c r="F10" i="4"/>
  <c r="H10" i="4" s="1"/>
  <c r="G4" i="4"/>
  <c r="I4" i="4" s="1"/>
  <c r="C4" i="4"/>
  <c r="F6" i="4"/>
  <c r="H6" i="4" s="1"/>
  <c r="F12" i="4"/>
  <c r="H12" i="4" s="1"/>
  <c r="F9" i="4"/>
  <c r="H9" i="4" s="1"/>
  <c r="F11" i="4"/>
  <c r="H11" i="4" s="1"/>
  <c r="C12" i="4"/>
  <c r="E385" i="4"/>
  <c r="G385" i="4"/>
  <c r="I385" i="4" s="1"/>
  <c r="I296" i="4"/>
  <c r="M467" i="4"/>
  <c r="K467" i="4"/>
  <c r="K474" i="4"/>
  <c r="K466" i="4"/>
  <c r="K472" i="4"/>
  <c r="M466" i="4"/>
  <c r="M472" i="4"/>
  <c r="K465" i="4"/>
  <c r="K471" i="4"/>
  <c r="M465" i="4"/>
  <c r="M471" i="4"/>
  <c r="M464" i="4"/>
  <c r="M470" i="4"/>
  <c r="K464" i="4"/>
  <c r="K470" i="4"/>
  <c r="M463" i="4"/>
  <c r="M469" i="4"/>
  <c r="K463" i="4"/>
  <c r="K469" i="4"/>
  <c r="K462" i="4"/>
  <c r="K468" i="4"/>
  <c r="M462" i="4"/>
  <c r="M468" i="4"/>
  <c r="E29" i="10" l="1"/>
  <c r="G29" i="10" s="1"/>
  <c r="H29" i="10" s="1"/>
  <c r="E37" i="10"/>
  <c r="G37" i="10" s="1"/>
  <c r="H37" i="10" s="1"/>
  <c r="U11" i="4"/>
  <c r="W11" i="4" s="1"/>
  <c r="I366" i="4"/>
  <c r="E386" i="4"/>
  <c r="B22" i="10" s="1"/>
  <c r="H387" i="4"/>
  <c r="H388" i="4" s="1"/>
  <c r="G10" i="4"/>
  <c r="I10" i="4" s="1"/>
  <c r="G6" i="4"/>
  <c r="I6" i="4" s="1"/>
  <c r="H13" i="4"/>
  <c r="G7" i="4"/>
  <c r="I7" i="4" s="1"/>
  <c r="G11" i="4"/>
  <c r="I11" i="4" s="1"/>
  <c r="G9" i="4"/>
  <c r="I9" i="4" s="1"/>
  <c r="G8" i="4"/>
  <c r="I8" i="4" s="1"/>
  <c r="G5" i="4"/>
  <c r="I5" i="4" s="1"/>
  <c r="G12" i="4"/>
  <c r="I12" i="4" s="1"/>
  <c r="U14" i="4" l="1"/>
  <c r="W16" i="4" s="1"/>
  <c r="W14" i="4"/>
  <c r="I389" i="4"/>
  <c r="I13" i="4"/>
  <c r="G13" i="4" s="1"/>
  <c r="F5" i="2" l="1"/>
  <c r="F4" i="2"/>
  <c r="F3" i="2"/>
  <c r="E70" i="10" s="1"/>
  <c r="G70" i="10" s="1"/>
  <c r="H70" i="10" s="1"/>
  <c r="E26" i="10" l="1"/>
  <c r="G26" i="10" s="1"/>
  <c r="H26" i="10" s="1"/>
  <c r="G5" i="10" l="1"/>
  <c r="H5" i="10"/>
  <c r="H4" i="10"/>
  <c r="G4" i="10"/>
  <c r="H3" i="10"/>
  <c r="G3" i="10"/>
  <c r="H2" i="10"/>
  <c r="G2" i="10"/>
  <c r="H6" i="10"/>
  <c r="G6" i="10"/>
  <c r="E80" i="10"/>
  <c r="F7" i="10"/>
  <c r="E161" i="10" l="1"/>
  <c r="F162" i="10" s="1"/>
  <c r="F163" i="10" s="1"/>
  <c r="K3" i="10"/>
  <c r="H80" i="10"/>
  <c r="G80" i="10"/>
  <c r="G7" i="10"/>
  <c r="G14" i="10" s="1"/>
  <c r="H7" i="10"/>
  <c r="G16" i="10" l="1"/>
  <c r="H16" i="10" s="1"/>
  <c r="H21" i="10" s="1"/>
  <c r="K5" i="10"/>
  <c r="K4" i="10"/>
  <c r="G15" i="10"/>
  <c r="H15" i="10" s="1"/>
  <c r="H14" i="10"/>
  <c r="H18" i="10" l="1"/>
  <c r="K15" i="10" s="1"/>
  <c r="I14" i="10"/>
  <c r="G13" i="10"/>
  <c r="H13" i="10" s="1"/>
  <c r="J15" i="10"/>
  <c r="B9" i="10"/>
  <c r="B11" i="10"/>
  <c r="K17" i="10" l="1"/>
  <c r="K14" i="10"/>
  <c r="B8" i="10"/>
  <c r="B10" i="10"/>
  <c r="E202" i="10"/>
  <c r="F3" i="11" l="1"/>
  <c r="F4" i="11" s="1"/>
  <c r="F5" i="11" s="1"/>
  <c r="F6" i="11" s="1"/>
  <c r="F7" i="11" s="1"/>
  <c r="F8" i="11" s="1"/>
  <c r="F9" i="11" s="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F22" i="11" s="1"/>
  <c r="F23" i="11" s="1"/>
  <c r="F24" i="11" s="1"/>
  <c r="F25" i="11" s="1"/>
  <c r="F26" i="11" s="1"/>
  <c r="F27" i="11" s="1"/>
  <c r="F28" i="11" s="1"/>
  <c r="F29" i="11" s="1"/>
  <c r="F30" i="11" s="1"/>
  <c r="F31" i="11" s="1"/>
  <c r="F32" i="11" s="1"/>
  <c r="F33" i="11" s="1"/>
  <c r="F34" i="11" s="1"/>
  <c r="F35" i="11" s="1"/>
  <c r="F36" i="11" s="1"/>
  <c r="F37" i="11" s="1"/>
  <c r="F38" i="11" s="1"/>
  <c r="F39" i="11" s="1"/>
  <c r="F40" i="11" s="1"/>
  <c r="F41" i="11" s="1"/>
  <c r="F42" i="11" s="1"/>
  <c r="F43" i="11" s="1"/>
  <c r="F44" i="11" s="1"/>
  <c r="F45" i="11" s="1"/>
  <c r="F46" i="11" s="1"/>
  <c r="F47" i="11" s="1"/>
  <c r="F48" i="11" s="1"/>
  <c r="F49" i="11" s="1"/>
  <c r="F50" i="11" s="1"/>
  <c r="F51" i="11" s="1"/>
  <c r="F52" i="11" s="1"/>
  <c r="F53" i="11" s="1"/>
  <c r="F54" i="11" l="1"/>
  <c r="F55" i="11"/>
  <c r="F56" i="11"/>
  <c r="F57" i="11" s="1"/>
  <c r="F58" i="11" s="1"/>
  <c r="F59" i="11" s="1"/>
  <c r="F60" i="11" s="1"/>
  <c r="F61" i="11" s="1"/>
  <c r="F62" i="11" s="1"/>
  <c r="F63" i="11" s="1"/>
  <c r="F64" i="11" s="1"/>
  <c r="F65" i="11" s="1"/>
  <c r="F66" i="11" s="1"/>
  <c r="F67" i="11" s="1"/>
  <c r="F68" i="11" s="1"/>
  <c r="F69" i="11" s="1"/>
  <c r="F70" i="11" s="1"/>
  <c r="F71" i="11" s="1"/>
  <c r="F72" i="11" s="1"/>
  <c r="F73" i="11" s="1"/>
  <c r="F74" i="11" s="1"/>
  <c r="F75" i="11" s="1"/>
  <c r="F76" i="11" s="1"/>
  <c r="F77" i="11" s="1"/>
  <c r="F78" i="11" s="1"/>
  <c r="F79" i="11" s="1"/>
  <c r="F80" i="11" s="1"/>
  <c r="F81" i="11" s="1"/>
  <c r="F82" i="11" s="1"/>
  <c r="F83" i="11" s="1"/>
  <c r="F84" i="11" s="1"/>
  <c r="F85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Guilherme Bastos</author>
  </authors>
  <commentList>
    <comment ref="A14" authorId="0" shapeId="0" xr:uid="{A27BB178-927C-40C0-BB81-0073FD75CC01}">
      <text>
        <r>
          <rPr>
            <b/>
            <sz val="9"/>
            <color indexed="81"/>
            <rFont val="Segoe UI"/>
            <family val="2"/>
          </rPr>
          <t>Qtd horas efetivas de trabalho</t>
        </r>
      </text>
    </comment>
  </commentList>
</comments>
</file>

<file path=xl/sharedStrings.xml><?xml version="1.0" encoding="utf-8"?>
<sst xmlns="http://schemas.openxmlformats.org/spreadsheetml/2006/main" count="1792" uniqueCount="472">
  <si>
    <t>Locação</t>
  </si>
  <si>
    <t>m³/dia</t>
  </si>
  <si>
    <t>Montagem</t>
  </si>
  <si>
    <t>Mínimo</t>
  </si>
  <si>
    <t>Padrão</t>
  </si>
  <si>
    <t>Máximo</t>
  </si>
  <si>
    <t>Desmontagem</t>
  </si>
  <si>
    <t>Regime</t>
  </si>
  <si>
    <t>R$/HH</t>
  </si>
  <si>
    <t>Mobilizado</t>
  </si>
  <si>
    <t>Montador de Andaimes</t>
  </si>
  <si>
    <t>Líder de Equipe</t>
  </si>
  <si>
    <t>Item</t>
  </si>
  <si>
    <t>Ajudante</t>
  </si>
  <si>
    <t>Efetivo</t>
  </si>
  <si>
    <t>m³</t>
  </si>
  <si>
    <t>MOBILIZADO</t>
  </si>
  <si>
    <t>Função</t>
  </si>
  <si>
    <t>Qtde</t>
  </si>
  <si>
    <t>Tabela de Preço</t>
  </si>
  <si>
    <t>Valor</t>
  </si>
  <si>
    <t>Tabela</t>
  </si>
  <si>
    <t>ITEM</t>
  </si>
  <si>
    <t>Valor Total</t>
  </si>
  <si>
    <t>Encarregado</t>
  </si>
  <si>
    <t>Mobilização</t>
  </si>
  <si>
    <t>Unit</t>
  </si>
  <si>
    <t>PESO</t>
  </si>
  <si>
    <t>MATERIAL</t>
  </si>
  <si>
    <t>UNID.</t>
  </si>
  <si>
    <t>FATOR</t>
  </si>
  <si>
    <t>UNITÁRIO</t>
  </si>
  <si>
    <t>TOTAL</t>
  </si>
  <si>
    <t>TUBO 48,30 X 3,00 X 500 MM</t>
  </si>
  <si>
    <t>ML</t>
  </si>
  <si>
    <t>TUBO 48,30 X 3,00 X 750 MM</t>
  </si>
  <si>
    <t>TUBO 48,30 X 3,00 X 1000 MM</t>
  </si>
  <si>
    <t>TUBO 48,30 X 3,00 X 1250 MM</t>
  </si>
  <si>
    <t>TUBO 48,30 X 3,00 X 1500 MM</t>
  </si>
  <si>
    <t>TUBO 48,30 X 3,00 X 1750 MM</t>
  </si>
  <si>
    <t>TUBO 48,30 X 3,00 X 2000 MM</t>
  </si>
  <si>
    <t>TUBO 48,30 X 3,00 X 2250 MM</t>
  </si>
  <si>
    <t>TUBO 48,30 X 3,00 X 2500 MM</t>
  </si>
  <si>
    <t>TUBO 48,30 X 3,00 X 2750 MM</t>
  </si>
  <si>
    <t>TUBO 48,30 X 3,00 X 3000 MM</t>
  </si>
  <si>
    <t>TUBO 48,30 X 3,00 X 3250 MM</t>
  </si>
  <si>
    <t>TUBO 48,30 X 3,00 X 3500 MM</t>
  </si>
  <si>
    <t>TUBO 48,30 X 3,00 X 3750 MM</t>
  </si>
  <si>
    <t>TUBO 48,30 X 3,00 X 4000 MM</t>
  </si>
  <si>
    <t>TUBO 48,30 X 3,00 X 4250 MM</t>
  </si>
  <si>
    <t>TUBO 48,30 X 3,00 X 4500 MM</t>
  </si>
  <si>
    <t>TUBO 48,30 X 3,00 X 4750 MM</t>
  </si>
  <si>
    <t>TUBO 48,30 X 3,00 X 5000 MM</t>
  </si>
  <si>
    <t>TUBO 48,30 X 3,00 X 5250 MM</t>
  </si>
  <si>
    <t>TUBO 48,30 X 3,00 X 5500 MM</t>
  </si>
  <si>
    <t>TUBO 48,30 X 3,00 X 5750 MM</t>
  </si>
  <si>
    <t>TUBO 48,30 X 3,00 X 6000 MM</t>
  </si>
  <si>
    <t>POSTE 250 MM</t>
  </si>
  <si>
    <t>POSTE 500 MM C/ ESPIGA</t>
  </si>
  <si>
    <t>POSTE 500 MM S/ ESPIGA</t>
  </si>
  <si>
    <t>POSTE 1000 MM</t>
  </si>
  <si>
    <t>POSTE 1500 MM</t>
  </si>
  <si>
    <t>POSTE 2000 MM</t>
  </si>
  <si>
    <t>POSTE 2500 MM</t>
  </si>
  <si>
    <t>POSTE 3000 MM</t>
  </si>
  <si>
    <t>QUEBRA VÃO 1000 MM</t>
  </si>
  <si>
    <t>QUEBRA VÃO 1200 MM</t>
  </si>
  <si>
    <t>QUEBRA VÃO 1700 MM</t>
  </si>
  <si>
    <t>QUEBRA VÃO 2200 MM</t>
  </si>
  <si>
    <t>QUEBRA VÃO 2400 MM</t>
  </si>
  <si>
    <t>TRAVESSA 800 MM</t>
  </si>
  <si>
    <t>TRAVESSA 1000 MM</t>
  </si>
  <si>
    <t>TRAVESSA 1200 MM</t>
  </si>
  <si>
    <t>TRAVESSA 1700 MM</t>
  </si>
  <si>
    <t>TRAVESSA 2200 MM</t>
  </si>
  <si>
    <t>TRAVESSA 2400 MM</t>
  </si>
  <si>
    <t>TRAVESSA 2500 MM</t>
  </si>
  <si>
    <t>DIAGONAL 12 x 20 = 2,32  P/ 1.200</t>
  </si>
  <si>
    <t>DIAGONAL 17 x 20 = 2,60  P/ 1.700</t>
  </si>
  <si>
    <t>DIAGONAL 22 x 20 = 2,95 P/ 2.200</t>
  </si>
  <si>
    <t>DIAGONAL 24 x 20 = 3,08 P/ 2.400</t>
  </si>
  <si>
    <t>ABRAÇADEIRA FIXA P/ 48,30</t>
  </si>
  <si>
    <t>PÇ</t>
  </si>
  <si>
    <t>ABRAÇADEIRA GIRATÓRIA P/ 48,30</t>
  </si>
  <si>
    <t>ARCO ABERTO</t>
  </si>
  <si>
    <t>ARCO FECHADO</t>
  </si>
  <si>
    <t>GUARDA CORPO P/ ESCADA</t>
  </si>
  <si>
    <t>LUVA DE ACOPLAMENTO UNIÃO</t>
  </si>
  <si>
    <t>BASE FIXA</t>
  </si>
  <si>
    <t>BASE REGULÁVEL</t>
  </si>
  <si>
    <t>ESCADA DE ENTRADA 1500 X 500</t>
  </si>
  <si>
    <t>ESCADA MARINHEIRO 2000 X 500</t>
  </si>
  <si>
    <t>BASTÃO</t>
  </si>
  <si>
    <t>PC</t>
  </si>
  <si>
    <t>JOGO DE ESCADA COM 11 DEGRAUS</t>
  </si>
  <si>
    <t>DEGRAUS DE ENTRADA DUPLA</t>
  </si>
  <si>
    <t>PRANCHÃO 300 x 1000 MM</t>
  </si>
  <si>
    <t>PRANCHÃO 300 x 1500 MM</t>
  </si>
  <si>
    <t>PRANCHÃO 300 x 2000 MM</t>
  </si>
  <si>
    <t>PRANCHÃO 300 x 2500 MM</t>
  </si>
  <si>
    <t>PRANCHÃO 300 x 3000 MM</t>
  </si>
  <si>
    <t>RODAPE 3000 MM</t>
  </si>
  <si>
    <t>PRANCHÃO PRFV 300 x 1000 MM</t>
  </si>
  <si>
    <t>PRANCHÃO PRFV 300 x 1500 MM</t>
  </si>
  <si>
    <t>PRANCHÃO PRFV 300 x 2000 MM</t>
  </si>
  <si>
    <t>PRANCHÃO PRFV 300 x 2500 MM</t>
  </si>
  <si>
    <t>PRANCHÃO PRFV 300 x 3000 MM</t>
  </si>
  <si>
    <t>VALOR UNIT</t>
  </si>
  <si>
    <t>R$ Montagem</t>
  </si>
  <si>
    <t>R$ Desmontagem</t>
  </si>
  <si>
    <t>TIPO</t>
  </si>
  <si>
    <t>RODAPE PRFV 1000 MM</t>
  </si>
  <si>
    <t>QTD</t>
  </si>
  <si>
    <t>VALOR TOTAL</t>
  </si>
  <si>
    <t>POSTE 1000</t>
  </si>
  <si>
    <t>ABRAÇADEIRA P/48,30  FIXA</t>
  </si>
  <si>
    <t>ML Total</t>
  </si>
  <si>
    <t>ABRAÇADEIRA P/48,30  GIRATÓRIA</t>
  </si>
  <si>
    <t xml:space="preserve">GUARDA CORPO P/ ESCADA </t>
  </si>
  <si>
    <t xml:space="preserve">LUVA DE ACOPLAMENTO UNIÃO </t>
  </si>
  <si>
    <t>PRANCHÃO 300 X 1000</t>
  </si>
  <si>
    <t>RODAPÉ PRFV 1000</t>
  </si>
  <si>
    <t>Unid</t>
  </si>
  <si>
    <t>Fator</t>
  </si>
  <si>
    <t>PESO TOTAL (kg)</t>
  </si>
  <si>
    <t>Peso Unit (kg)</t>
  </si>
  <si>
    <t>VALOR TOTAL DA LOCAÇÃO/MÊS =</t>
  </si>
  <si>
    <t xml:space="preserve">PESO TOTAL DA LOCAÇÃO = </t>
  </si>
  <si>
    <t xml:space="preserve">Nº Estimados de carretas (Carga de 25t) = </t>
  </si>
  <si>
    <t>TUBO 48,30 X 3,00 X 1000</t>
  </si>
  <si>
    <t>INDENIZAÇÃO</t>
  </si>
  <si>
    <t>RODAPE PRFV 800 MM</t>
  </si>
  <si>
    <t>RODAPE PRFV 1200 MM</t>
  </si>
  <si>
    <t>RODAPE PRFV 1500 MM</t>
  </si>
  <si>
    <t>RODAPE PRFV 1700 MM</t>
  </si>
  <si>
    <t>RODAPE PRFV 2000 MM</t>
  </si>
  <si>
    <t>RODAPE PRFV 2400 MM</t>
  </si>
  <si>
    <t>RODAPE PRFV 2200 MM</t>
  </si>
  <si>
    <t>RODAPE PRFV 2500 MM</t>
  </si>
  <si>
    <t>RODAPE PRFV 3000 MM</t>
  </si>
  <si>
    <t>Material</t>
  </si>
  <si>
    <t>Qtde Devida</t>
  </si>
  <si>
    <t>Valor por Unid Medida</t>
  </si>
  <si>
    <t>Sim</t>
  </si>
  <si>
    <t>Não</t>
  </si>
  <si>
    <t>PRANCHÃO 300 X 3000</t>
  </si>
  <si>
    <t>TUBO 48,30 X 3,00 X 4000</t>
  </si>
  <si>
    <t>TUBO 48,30 X 3,00 X 6000</t>
  </si>
  <si>
    <t>QUEBRA VÃO 2500 MM</t>
  </si>
  <si>
    <t>QUEBRA VÃO 800 MM</t>
  </si>
  <si>
    <t xml:space="preserve">DEGRAUS DE ESCADA SIMPLES </t>
  </si>
  <si>
    <t xml:space="preserve">DEGRAUS DE ESCADA SIMPLES  </t>
  </si>
  <si>
    <t>Descrição</t>
  </si>
  <si>
    <t>RESPONSABILIDADES</t>
  </si>
  <si>
    <t>CONTRATANTE</t>
  </si>
  <si>
    <t>CONTRATADA</t>
  </si>
  <si>
    <t>Fornecer mão de obra devidamente qualificada, com todos os equipamentos necessários (EPI’s) à perfeita execução dos serviços objeto desta tomada de preços</t>
  </si>
  <si>
    <t>X</t>
  </si>
  <si>
    <t>Apresentar certificados de qualificação dos profissionais</t>
  </si>
  <si>
    <t>Apresentar o certificado de treinamento (NR-35; NR-33; NR-18).</t>
  </si>
  <si>
    <t>Fornecimento de transporte externo</t>
  </si>
  <si>
    <t>Fornecimento de transporte interno</t>
  </si>
  <si>
    <t>Fornecimento de materiais de andaime para execução do serviço em bom estado de conservação e uso</t>
  </si>
  <si>
    <t>Fornecer aos seus funcionários integrantes desta contratação plano de saúde e/ou possuir contrato de atendimento com os Hospitais de referência da região</t>
  </si>
  <si>
    <t>Responsabilizar-se pelo transporte de ferramentas</t>
  </si>
  <si>
    <t>Responsabilizar-se pelo transporte de materiais</t>
  </si>
  <si>
    <t>Zelar e responsabilizar-se pelos materiais locados</t>
  </si>
  <si>
    <t>Arcar com despesas de indenização dos materiais locados</t>
  </si>
  <si>
    <t>Disponibilizar conferente para acompanhar carga e descarga dos materiais</t>
  </si>
  <si>
    <t>Agendar com o setor patrimonial e/ou de controle de acesso, a conferência dos materiais para a liberação dos mesmos, repassando as informações.</t>
  </si>
  <si>
    <t>Assinar diariamente o RDO</t>
  </si>
  <si>
    <t xml:space="preserve">Participar da avaliação de satisfação do cliente </t>
  </si>
  <si>
    <t>Assinar o atestado de capacidade técnica ao final da obra</t>
  </si>
  <si>
    <t>Fornecer profissional da área de segurança do trabalho para documentação, abertura de frente de trabalho, acompanhamento e aprovação dos serviços</t>
  </si>
  <si>
    <t>Liberar acesso de pessoal para execução dos serviços</t>
  </si>
  <si>
    <t>Providenciar todos os documentos necessários para a liberação dos materiais, nas portarias e demais pontos de controle passíveis de averiguação</t>
  </si>
  <si>
    <t>Disponibilizar banheiro sanitário</t>
  </si>
  <si>
    <t>Disponibilizar água potável</t>
  </si>
  <si>
    <t>Disponibilizar água desmineralizada</t>
  </si>
  <si>
    <t>Disponibilizar pontos de energia</t>
  </si>
  <si>
    <t>Disponibilizar pontos de ar comprimido</t>
  </si>
  <si>
    <t>Disponibilizar área para montagem de canteiro</t>
  </si>
  <si>
    <t>Disponibilizar estrutura para instalação de canteiro</t>
  </si>
  <si>
    <t>Fornecimento de café da manhã/desjejum</t>
  </si>
  <si>
    <t>Fornecimento de almoço</t>
  </si>
  <si>
    <t>Fornecimento de janta</t>
  </si>
  <si>
    <t>Torre Parte Inferior</t>
  </si>
  <si>
    <t>C</t>
  </si>
  <si>
    <t>L</t>
  </si>
  <si>
    <t>A</t>
  </si>
  <si>
    <t>QTDE</t>
  </si>
  <si>
    <t>Torre Parte Superior</t>
  </si>
  <si>
    <t>m³ total</t>
  </si>
  <si>
    <t>m² Piso Total</t>
  </si>
  <si>
    <t>Passo</t>
  </si>
  <si>
    <t>Piso Interno</t>
  </si>
  <si>
    <t>Torre Piso Interno</t>
  </si>
  <si>
    <t>Torre Externa</t>
  </si>
  <si>
    <t>Ajuste de piso do passo 4</t>
  </si>
  <si>
    <t>Torre externa (pintura)</t>
  </si>
  <si>
    <t>TUBO 48,30 X 3,00 X 500</t>
  </si>
  <si>
    <t>TUBO 48,30 X 3,00 X 750</t>
  </si>
  <si>
    <t>TUBO 48,30 X 3,00 X 1250</t>
  </si>
  <si>
    <t>TUBO 48,30 X 3,00 X 1500</t>
  </si>
  <si>
    <t>TUBO 48,30 X 3,00 X 1750</t>
  </si>
  <si>
    <t>TUBO 48,30 X 3,00 X 2000</t>
  </si>
  <si>
    <t>TUBO 48,30 X 3,00 X 2250</t>
  </si>
  <si>
    <t>TUBO 48,30 X 3,00 X 2500</t>
  </si>
  <si>
    <t>TUBO 48,30 X 3,00 X 2750</t>
  </si>
  <si>
    <t>TUBO 48,30 X 3,00 X 3000</t>
  </si>
  <si>
    <t>TUBO 48,30 X 3,00 X 3250</t>
  </si>
  <si>
    <t>TUBO 48,30 X 3,00 X 3500</t>
  </si>
  <si>
    <t>TUBO 48,30 X 3,00 X 3750</t>
  </si>
  <si>
    <t>TUBO 48,30 X 3,00 X 4250</t>
  </si>
  <si>
    <t>TUBO 48,30 X 3,00 X 4500</t>
  </si>
  <si>
    <t>TUBO 48,30 X 3,00 X 4750</t>
  </si>
  <si>
    <t>TUBO 48,30 X 3,00 X 5000</t>
  </si>
  <si>
    <t>TUBO 48,30 X 3,00 X 5250</t>
  </si>
  <si>
    <t>TUBO 48,30 X 3,00 X 5500</t>
  </si>
  <si>
    <t>TUBO 48,30 X 3,00 X 5750</t>
  </si>
  <si>
    <t>POSTE 250</t>
  </si>
  <si>
    <t>POSTE C ESPIGA 500</t>
  </si>
  <si>
    <t>POSTE S ESPIGA 500</t>
  </si>
  <si>
    <t>POSTE 1500</t>
  </si>
  <si>
    <t>POSTE 2000</t>
  </si>
  <si>
    <t>POSTE 2500</t>
  </si>
  <si>
    <t>POSTE 3000</t>
  </si>
  <si>
    <t>QUEBRA VÃO 800</t>
  </si>
  <si>
    <t>QUEBRA VÃO 1000</t>
  </si>
  <si>
    <t>QUEBRA VÃO 1200</t>
  </si>
  <si>
    <t>QUEBRA VÃO 1700</t>
  </si>
  <si>
    <t>QUEBRA VÃO 2200</t>
  </si>
  <si>
    <t>QUEBRA VÃO 2400</t>
  </si>
  <si>
    <t>QUEBRA VÃO 2500</t>
  </si>
  <si>
    <t>TRAVESSA 800</t>
  </si>
  <si>
    <t>TRAVESSA 1000</t>
  </si>
  <si>
    <t>TRAVESSA 1200</t>
  </si>
  <si>
    <t>TRAVESSA 1700</t>
  </si>
  <si>
    <t>TRAVESSA 2200</t>
  </si>
  <si>
    <t>TRAVESSA 2400</t>
  </si>
  <si>
    <t>TRAVESSA 2500</t>
  </si>
  <si>
    <t>DIAGONAL 12 X 20 = 2,32 1200</t>
  </si>
  <si>
    <t>DIAGONAL 17 X 20 = 2,60 1700</t>
  </si>
  <si>
    <t>DIAGONAL 22 X 20 = 2,95 2200</t>
  </si>
  <si>
    <t>DIAGONAL 24 X 20 = 3,08 2400</t>
  </si>
  <si>
    <t xml:space="preserve">BASTÃO </t>
  </si>
  <si>
    <t xml:space="preserve">JOGO DE ESCADA COM 11 DEGRAUS </t>
  </si>
  <si>
    <t xml:space="preserve">DEGRAUS DE ENTRADA DUPLA </t>
  </si>
  <si>
    <t>PRANCHÃO 300 X 1500</t>
  </si>
  <si>
    <t>PRANCHÃO 300 X 2000</t>
  </si>
  <si>
    <t>PRANCHÃO 300 X 2500</t>
  </si>
  <si>
    <t>PRANCHÃO PRFV 300 X 1000</t>
  </si>
  <si>
    <t>PRANCHÃO PRFV 300 X 1500</t>
  </si>
  <si>
    <t>PRANCHÃO PRFV 300 X 2000</t>
  </si>
  <si>
    <t>PRANCHÃO PRFV 300 X 2500</t>
  </si>
  <si>
    <t>PRANCHÃO PRFV 300 X 3000</t>
  </si>
  <si>
    <t>RODAPÉ PRFV 800</t>
  </si>
  <si>
    <t>RODAPÉ PRFV 1200</t>
  </si>
  <si>
    <t>RODAPÉ PRFV 1500</t>
  </si>
  <si>
    <t>RODAPÉ PRFV 1700</t>
  </si>
  <si>
    <t>RODAPÉ PRFV 1800</t>
  </si>
  <si>
    <t>RODAPÉ PRFV 2000</t>
  </si>
  <si>
    <t>RODAPÉ PRFV 2200</t>
  </si>
  <si>
    <t>RODAPÉ PRFV 2300</t>
  </si>
  <si>
    <t>RODAPÉ PRFV 2400</t>
  </si>
  <si>
    <t>RODAPÉ PRFV 2500</t>
  </si>
  <si>
    <t>RODAPÉ PRFV 3000</t>
  </si>
  <si>
    <t>RODAPÉ PRFV 1300</t>
  </si>
  <si>
    <t xml:space="preserve">RODÍZIO PARA ANDAIME </t>
  </si>
  <si>
    <t xml:space="preserve">Tubo </t>
  </si>
  <si>
    <t>Encaixe</t>
  </si>
  <si>
    <t xml:space="preserve">Piso </t>
  </si>
  <si>
    <t xml:space="preserve">Acessório </t>
  </si>
  <si>
    <t xml:space="preserve">% para acréscimo ou desconto </t>
  </si>
  <si>
    <t xml:space="preserve">Tipo de material </t>
  </si>
  <si>
    <t>TST</t>
  </si>
  <si>
    <t>NÃO MOBILIZADO</t>
  </si>
  <si>
    <t>Margem</t>
  </si>
  <si>
    <t>Sede</t>
  </si>
  <si>
    <t>L.Líquido</t>
  </si>
  <si>
    <t>Sem alimentação</t>
  </si>
  <si>
    <t>Fator Insalubridade</t>
  </si>
  <si>
    <t>Com alimentação Própria</t>
  </si>
  <si>
    <t>Limite</t>
  </si>
  <si>
    <t>Faturamento</t>
  </si>
  <si>
    <t>Não Mobilizado</t>
  </si>
  <si>
    <t>Sem Alimentação</t>
  </si>
  <si>
    <t>Com Alimentação</t>
  </si>
  <si>
    <t>Check Alimentação</t>
  </si>
  <si>
    <t>Check Tabela</t>
  </si>
  <si>
    <t>Check Mobilizado</t>
  </si>
  <si>
    <t>Periculosidade</t>
  </si>
  <si>
    <t>Alimentação pelo Cliente</t>
  </si>
  <si>
    <t>Efetivo Total</t>
  </si>
  <si>
    <t>VALOR BASE UNIT/Ml</t>
  </si>
  <si>
    <t>Não Mob Até 30D</t>
  </si>
  <si>
    <t>P+1</t>
  </si>
  <si>
    <t>R$ Mensal</t>
  </si>
  <si>
    <t>R$ Total</t>
  </si>
  <si>
    <t>RODAPE PRFV 1300 MM</t>
  </si>
  <si>
    <t>PROTEÇÃO DE ABRAÇADEIRA</t>
  </si>
  <si>
    <t>RODAPÉ 3000</t>
  </si>
  <si>
    <t>Produtividades</t>
  </si>
  <si>
    <t>Horas Efetivas</t>
  </si>
  <si>
    <t>Montagem (m³/h)</t>
  </si>
  <si>
    <t>Desmontagem (m³/h)</t>
  </si>
  <si>
    <t>DESCRIÇÃO</t>
  </si>
  <si>
    <t>ALTURA</t>
  </si>
  <si>
    <t>LARGURA</t>
  </si>
  <si>
    <t>COMPRIMENTO</t>
  </si>
  <si>
    <t>RAIO</t>
  </si>
  <si>
    <t>PISO EXTRA</t>
  </si>
  <si>
    <t>m³ TOTAL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</si>
  <si>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</si>
  <si>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</si>
  <si>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</si>
  <si>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</si>
  <si>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</si>
  <si>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</si>
  <si>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</si>
  <si>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</si>
  <si>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</si>
  <si>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</si>
  <si>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Em Balanço</t>
  </si>
  <si>
    <t>Pau de carga</t>
  </si>
  <si>
    <t>Torre Interna</t>
  </si>
  <si>
    <t>2.1</t>
  </si>
  <si>
    <t>2.2</t>
  </si>
  <si>
    <t>ANDAIMES CILINDROS</t>
  </si>
  <si>
    <t>Tanque Original</t>
  </si>
  <si>
    <t>2.1 - Andaime</t>
  </si>
  <si>
    <t>2.2 - Andaime</t>
  </si>
  <si>
    <t>Costado Interno</t>
  </si>
  <si>
    <t>Horas Totais</t>
  </si>
  <si>
    <t>Dias Montagem</t>
  </si>
  <si>
    <t>Dias Desmontagem</t>
  </si>
  <si>
    <t>Dias Totais</t>
  </si>
  <si>
    <t>R$ unitário</t>
  </si>
  <si>
    <t>Total:</t>
  </si>
  <si>
    <t>Período (Mês)</t>
  </si>
  <si>
    <t>Desconto:</t>
  </si>
  <si>
    <t>R$/m³ com Locação</t>
  </si>
  <si>
    <t>R$/m³ sem Locação</t>
  </si>
  <si>
    <t>R$ por Efetivo com Locação</t>
  </si>
  <si>
    <t>R$ por Efetivo sem Locação</t>
  </si>
  <si>
    <t>PATAMARES</t>
  </si>
  <si>
    <t>Mensal</t>
  </si>
  <si>
    <t>Passarela</t>
  </si>
  <si>
    <t>Piso Extra</t>
  </si>
  <si>
    <t>m²</t>
  </si>
  <si>
    <t>M²</t>
  </si>
  <si>
    <t>ML Tubo</t>
  </si>
  <si>
    <t>ML Poste</t>
  </si>
  <si>
    <t>Estimativa Materiais</t>
  </si>
  <si>
    <t>Tipo de Material:</t>
  </si>
  <si>
    <t>Tubo</t>
  </si>
  <si>
    <t>R$/dia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</si>
  <si>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</si>
  <si>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</si>
  <si>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</si>
  <si>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</si>
  <si>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</si>
  <si>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</si>
  <si>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</si>
  <si>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</si>
  <si>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</si>
  <si>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</si>
  <si>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2.3</t>
  </si>
  <si>
    <t>2.4</t>
  </si>
  <si>
    <t>2.5</t>
  </si>
  <si>
    <t xml:space="preserve">Medidas Andaime - </t>
  </si>
  <si>
    <t>TIPO ANDAIME</t>
  </si>
  <si>
    <t>LISTA DE ANDAIMES</t>
  </si>
  <si>
    <t>HH Normal</t>
  </si>
  <si>
    <t>HE 01</t>
  </si>
  <si>
    <t>HE 02</t>
  </si>
  <si>
    <t>Tipo</t>
  </si>
  <si>
    <t>R$</t>
  </si>
  <si>
    <t>1.21</t>
  </si>
  <si>
    <t>1.22</t>
  </si>
  <si>
    <t>R$/m³ Montado</t>
  </si>
  <si>
    <t>R$/m³ Desmontado</t>
  </si>
  <si>
    <t>% Ref.</t>
  </si>
  <si>
    <t>COMPRIMENTO (Raio)</t>
  </si>
  <si>
    <t>Total HH</t>
  </si>
  <si>
    <t>Total m³</t>
  </si>
  <si>
    <t>DETECTOR DE CO</t>
  </si>
  <si>
    <t>Valor Detector (HH)</t>
  </si>
  <si>
    <t>TABELA PARA TUBO EQUIPADO</t>
  </si>
  <si>
    <t>%</t>
  </si>
  <si>
    <t>Qtd</t>
  </si>
  <si>
    <t>R$ Unitário</t>
  </si>
  <si>
    <t>Contar</t>
  </si>
  <si>
    <t>Peso Total</t>
  </si>
  <si>
    <t>SUBTOTAL:</t>
  </si>
  <si>
    <t>PERÍODO DE LOCAÇÃO (meses)</t>
  </si>
  <si>
    <t>VALOR TOTAL DE LOCAÇÃO:</t>
  </si>
  <si>
    <t>Base da tabela</t>
  </si>
  <si>
    <t>Fator Periculosidade</t>
  </si>
  <si>
    <t>Unid.</t>
  </si>
  <si>
    <t xml:space="preserve">Valor Unitário </t>
  </si>
  <si>
    <t>Abraçadeira fixa</t>
  </si>
  <si>
    <t>Abraçadeira giratória</t>
  </si>
  <si>
    <t>Abraçadeira de perfil</t>
  </si>
  <si>
    <t>Luva de união acoplamento</t>
  </si>
  <si>
    <t xml:space="preserve">Anti-racha para pranchão </t>
  </si>
  <si>
    <t>Placa de base fixa</t>
  </si>
  <si>
    <t>Placa de base regulável</t>
  </si>
  <si>
    <t>Cunha para travessa</t>
  </si>
  <si>
    <t>Degrau simples para escada (bastão)</t>
  </si>
  <si>
    <t>Degrau com guarda corpo para escada (arco fechado)</t>
  </si>
  <si>
    <t>Guarda corpo simples para escada (arco aberto)</t>
  </si>
  <si>
    <t>Degrau duplo para escada</t>
  </si>
  <si>
    <t>Encaixe Multiapoio (Poste/Travessa/Diagonal/Quebra Vão)</t>
  </si>
  <si>
    <t>M</t>
  </si>
  <si>
    <t>Escada marinheiro 1500 x 500 mm</t>
  </si>
  <si>
    <t>Escada marinheiro 2000 x 500 mm</t>
  </si>
  <si>
    <t>Guarda corpo para escada marinheiro</t>
  </si>
  <si>
    <t>Parafuso para abraçadeira e luva</t>
  </si>
  <si>
    <t>UN</t>
  </si>
  <si>
    <t>Piso metálico</t>
  </si>
  <si>
    <t>Pranchão de madeira</t>
  </si>
  <si>
    <t>Pranchão com pregos</t>
  </si>
  <si>
    <t>Pranchão de Alumínio</t>
  </si>
  <si>
    <t>Pranchão em PRFV</t>
  </si>
  <si>
    <t>Porca para escada</t>
  </si>
  <si>
    <t>Rodapé de madeira</t>
  </si>
  <si>
    <t>Rodapé PRFV</t>
  </si>
  <si>
    <t>Rodízio de poliuretano</t>
  </si>
  <si>
    <t>Suporte para escada</t>
  </si>
  <si>
    <t>Corte (reaproveitamento de pranchões de madeira)</t>
  </si>
  <si>
    <t>Chave de catraca 7/8 Repeças</t>
  </si>
  <si>
    <t>Tubo galvanizado de 48.3 x 3 mm</t>
  </si>
  <si>
    <t>Proteção de Abraçadeira</t>
  </si>
  <si>
    <t>VALOR UNITÁRIO DE INDENIZAÇÃO</t>
  </si>
  <si>
    <t/>
  </si>
  <si>
    <t>PRANCHÃO MADEIRA 300 X 1000</t>
  </si>
  <si>
    <t>PRANCHÃO MADEIRA 300 X 1500</t>
  </si>
  <si>
    <t>PRANCHÃO MADEIRA 300 X 2000</t>
  </si>
  <si>
    <t>PRANCHÃO MADEIRA 300 X 2500</t>
  </si>
  <si>
    <t>PRANCHÃO MADEIRA 300 X 3000</t>
  </si>
  <si>
    <t>ANTI-RACHA PARA PRANCHÃO DE MADEIRA</t>
  </si>
  <si>
    <t>CUNHA PARA TRAVESSA</t>
  </si>
  <si>
    <t>CORTE PARA REAPROVEITAMENTO</t>
  </si>
  <si>
    <t>PARAFUSO PARA ABRAÇADEIRA E LUVA</t>
  </si>
  <si>
    <t>CHAVE DE CATRACA 7/8 REPEÇAS</t>
  </si>
  <si>
    <t>CABEÇA DE PROTEÇÃO (PRANCHÃO PRFV)</t>
  </si>
  <si>
    <t>ABRAÇADEIRA P/48,30 FIXA</t>
  </si>
  <si>
    <t>ABRAÇADEIRA P/48,30 GIRATÓRIA</t>
  </si>
  <si>
    <t>ARCO FECHADO (COM DEGRAU)</t>
  </si>
  <si>
    <t>ARCO ABERTO (TUBO)</t>
  </si>
  <si>
    <t>ARCO ABERTO (ESCADA MARINHEIRO)</t>
  </si>
  <si>
    <t>POSTE 0250</t>
  </si>
  <si>
    <t>POSTE 0500 C ESPIGA</t>
  </si>
  <si>
    <t>POSTE 0500 S ESPIGA</t>
  </si>
  <si>
    <t>DESEMPENO DE TUBO</t>
  </si>
  <si>
    <t>QUEBRA VÃO 0800</t>
  </si>
  <si>
    <t>RODAPÉ PRFV</t>
  </si>
  <si>
    <t>TRAVESSA 0800</t>
  </si>
  <si>
    <t>RODAPÉ MADEIRA</t>
  </si>
  <si>
    <t>TUBO 48,30 X 3,00 X 0500</t>
  </si>
  <si>
    <t>TUBO 48,30 X 3,00 X 0750</t>
  </si>
  <si>
    <t>TUBO 48,30 X 3,00 X 0250</t>
  </si>
  <si>
    <t>Adc Noturno</t>
  </si>
  <si>
    <t>FUNÇÃO</t>
  </si>
  <si>
    <t>LOCAÇÃO</t>
  </si>
  <si>
    <t>REGIME</t>
  </si>
  <si>
    <t>DIÁRIA</t>
  </si>
  <si>
    <t>VALOR UNITÁRIO</t>
  </si>
  <si>
    <t>R$ 0,98/M³</t>
  </si>
  <si>
    <t>Linha de vida + MC + ART</t>
  </si>
  <si>
    <t>Passarela Maior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</si>
</sst>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5" tint="0.79998168889431442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9"/>
      <color indexed="81"/>
      <name val="Segoe U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9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/>
      <diagonal style="thin">
        <color auto="1"/>
      </diagonal>
    </border>
    <border diagonalUp="1" diagonalDown="1">
      <left style="medium">
        <color auto="1"/>
      </left>
      <right style="medium">
        <color auto="1"/>
      </right>
      <top/>
      <bottom style="medium">
        <color auto="1"/>
      </bottom>
      <diagonal style="thin">
        <color auto="1"/>
      </diagonal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 diagonalUp="1" diagonalDown="1">
      <left style="medium">
        <color auto="1"/>
      </left>
      <right/>
      <top style="medium">
        <color auto="1"/>
      </top>
      <bottom style="medium">
        <color auto="1"/>
      </bottom>
      <diagonal style="dashed">
        <color auto="1"/>
      </diagonal>
    </border>
    <border diagonalUp="1" diagonalDown="1">
      <left/>
      <right/>
      <top style="medium">
        <color auto="1"/>
      </top>
      <bottom style="medium">
        <color auto="1"/>
      </bottom>
      <diagonal style="dashed">
        <color auto="1"/>
      </diagonal>
    </border>
    <border diagonalUp="1" diagonalDown="1">
      <left/>
      <right style="medium">
        <color auto="1"/>
      </right>
      <top style="medium">
        <color auto="1"/>
      </top>
      <bottom style="medium">
        <color auto="1"/>
      </bottom>
      <diagonal style="dashed">
        <color auto="1"/>
      </diagonal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 diagonalUp="1" diagonalDown="1">
      <left style="medium">
        <color auto="1"/>
      </left>
      <right style="thin">
        <color auto="1"/>
      </right>
      <top style="medium">
        <color auto="1"/>
      </top>
      <bottom/>
      <diagonal style="dotted">
        <color auto="1"/>
      </diagonal>
    </border>
    <border diagonalUp="1" diagonalDown="1">
      <left style="medium">
        <color auto="1"/>
      </left>
      <right style="thin">
        <color auto="1"/>
      </right>
      <top/>
      <bottom/>
      <diagonal style="dotted">
        <color auto="1"/>
      </diagonal>
    </border>
    <border diagonalUp="1" diagonalDown="1">
      <left style="medium">
        <color auto="1"/>
      </left>
      <right style="thin">
        <color auto="1"/>
      </right>
      <top/>
      <bottom style="medium">
        <color auto="1"/>
      </bottom>
      <diagonal style="dotted">
        <color auto="1"/>
      </diagonal>
    </border>
    <border>
      <left style="medium">
        <color auto="1"/>
      </left>
      <right style="medium">
        <color theme="0"/>
      </right>
      <top style="medium">
        <color auto="1"/>
      </top>
      <bottom/>
      <diagonal/>
    </border>
    <border>
      <left style="medium">
        <color theme="0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auto="1"/>
      </right>
      <top style="medium">
        <color theme="0"/>
      </top>
      <bottom style="medium">
        <color theme="0"/>
      </bottom>
      <diagonal/>
    </border>
    <border>
      <left style="medium">
        <color auto="1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auto="1"/>
      </right>
      <top style="medium">
        <color theme="0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dashed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dashed">
        <color auto="1"/>
      </diagonal>
    </border>
    <border diagonalUp="1" diagonalDown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1">
    <xf numFmtId="0" fontId="0" fillId="0" borderId="0" xfId="0"/>
    <xf numFmtId="44" fontId="3" fillId="3" borderId="14" xfId="1" applyFont="1" applyFill="1" applyBorder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5" fillId="2" borderId="5" xfId="0" applyFont="1" applyFill="1" applyBorder="1"/>
    <xf numFmtId="164" fontId="4" fillId="0" borderId="8" xfId="0" applyNumberFormat="1" applyFont="1" applyBorder="1" applyAlignment="1">
      <alignment horizontal="center"/>
    </xf>
    <xf numFmtId="0" fontId="5" fillId="2" borderId="8" xfId="0" applyFont="1" applyFill="1" applyBorder="1"/>
    <xf numFmtId="0" fontId="5" fillId="2" borderId="7" xfId="0" applyFont="1" applyFill="1" applyBorder="1"/>
    <xf numFmtId="0" fontId="5" fillId="0" borderId="13" xfId="0" applyFont="1" applyBorder="1" applyAlignment="1">
      <alignment vertical="center"/>
    </xf>
    <xf numFmtId="0" fontId="5" fillId="2" borderId="14" xfId="0" applyFont="1" applyFill="1" applyBorder="1"/>
    <xf numFmtId="0" fontId="4" fillId="0" borderId="15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164" fontId="4" fillId="0" borderId="0" xfId="0" applyNumberFormat="1" applyFont="1"/>
    <xf numFmtId="10" fontId="4" fillId="0" borderId="0" xfId="0" applyNumberFormat="1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43" xfId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8" xfId="0" applyBorder="1" applyAlignment="1">
      <alignment horizontal="center"/>
    </xf>
    <xf numFmtId="44" fontId="0" fillId="0" borderId="0" xfId="0" applyNumberFormat="1"/>
    <xf numFmtId="0" fontId="0" fillId="0" borderId="0" xfId="0" applyAlignment="1">
      <alignment horizontal="right"/>
    </xf>
    <xf numFmtId="0" fontId="0" fillId="0" borderId="50" xfId="0" applyBorder="1"/>
    <xf numFmtId="0" fontId="0" fillId="9" borderId="3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2" borderId="51" xfId="0" applyFill="1" applyBorder="1"/>
    <xf numFmtId="44" fontId="1" fillId="2" borderId="12" xfId="0" applyNumberFormat="1" applyFont="1" applyFill="1" applyBorder="1"/>
    <xf numFmtId="44" fontId="0" fillId="0" borderId="0" xfId="1" applyFont="1"/>
    <xf numFmtId="0" fontId="0" fillId="0" borderId="53" xfId="0" applyBorder="1" applyAlignment="1">
      <alignment horizontal="center"/>
    </xf>
    <xf numFmtId="0" fontId="0" fillId="0" borderId="5" xfId="0" applyBorder="1"/>
    <xf numFmtId="44" fontId="0" fillId="0" borderId="5" xfId="1" applyFont="1" applyBorder="1" applyAlignment="1">
      <alignment horizontal="center" wrapText="1"/>
    </xf>
    <xf numFmtId="0" fontId="8" fillId="0" borderId="5" xfId="2" applyFont="1" applyBorder="1" applyAlignment="1">
      <alignment horizontal="center"/>
    </xf>
    <xf numFmtId="2" fontId="8" fillId="0" borderId="5" xfId="3" applyNumberFormat="1" applyFont="1" applyBorder="1" applyAlignment="1">
      <alignment horizontal="center"/>
    </xf>
    <xf numFmtId="44" fontId="0" fillId="0" borderId="5" xfId="1" applyFont="1" applyBorder="1"/>
    <xf numFmtId="0" fontId="7" fillId="6" borderId="5" xfId="2" applyFont="1" applyFill="1" applyBorder="1" applyAlignment="1">
      <alignment horizontal="center" vertical="center"/>
    </xf>
    <xf numFmtId="44" fontId="0" fillId="0" borderId="5" xfId="0" applyNumberFormat="1" applyBorder="1"/>
    <xf numFmtId="44" fontId="1" fillId="2" borderId="0" xfId="0" applyNumberFormat="1" applyFont="1" applyFill="1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/>
    </xf>
    <xf numFmtId="0" fontId="0" fillId="10" borderId="0" xfId="0" applyFill="1"/>
    <xf numFmtId="10" fontId="0" fillId="10" borderId="0" xfId="0" applyNumberFormat="1" applyFill="1" applyAlignment="1">
      <alignment horizontal="center" vertical="center"/>
    </xf>
    <xf numFmtId="0" fontId="5" fillId="11" borderId="34" xfId="0" applyFont="1" applyFill="1" applyBorder="1" applyAlignment="1">
      <alignment horizontal="center" vertical="center"/>
    </xf>
    <xf numFmtId="0" fontId="5" fillId="11" borderId="55" xfId="0" applyFont="1" applyFill="1" applyBorder="1" applyAlignment="1">
      <alignment horizontal="center" vertical="center"/>
    </xf>
    <xf numFmtId="0" fontId="5" fillId="12" borderId="34" xfId="0" applyFont="1" applyFill="1" applyBorder="1" applyAlignment="1">
      <alignment horizontal="center" vertical="center"/>
    </xf>
    <xf numFmtId="0" fontId="5" fillId="12" borderId="55" xfId="0" applyFont="1" applyFill="1" applyBorder="1" applyAlignment="1">
      <alignment horizontal="center" vertical="center"/>
    </xf>
    <xf numFmtId="44" fontId="0" fillId="2" borderId="5" xfId="1" applyFont="1" applyFill="1" applyBorder="1" applyAlignment="1">
      <alignment horizontal="center" vertical="center"/>
    </xf>
    <xf numFmtId="44" fontId="0" fillId="2" borderId="6" xfId="1" applyFont="1" applyFill="1" applyBorder="1" applyAlignment="1">
      <alignment horizontal="center" vertical="center"/>
    </xf>
    <xf numFmtId="44" fontId="0" fillId="2" borderId="8" xfId="1" applyFont="1" applyFill="1" applyBorder="1" applyAlignment="1">
      <alignment horizontal="center" vertical="center"/>
    </xf>
    <xf numFmtId="44" fontId="0" fillId="2" borderId="9" xfId="1" applyFont="1" applyFill="1" applyBorder="1" applyAlignment="1">
      <alignment horizontal="center" vertical="center"/>
    </xf>
    <xf numFmtId="44" fontId="0" fillId="2" borderId="14" xfId="1" applyFont="1" applyFill="1" applyBorder="1" applyAlignment="1">
      <alignment horizontal="center" vertical="center"/>
    </xf>
    <xf numFmtId="44" fontId="0" fillId="2" borderId="15" xfId="1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10" fontId="0" fillId="11" borderId="14" xfId="5" applyNumberFormat="1" applyFont="1" applyFill="1" applyBorder="1" applyAlignment="1">
      <alignment horizontal="center" vertical="center"/>
    </xf>
    <xf numFmtId="10" fontId="0" fillId="11" borderId="15" xfId="5" applyNumberFormat="1" applyFont="1" applyFill="1" applyBorder="1" applyAlignment="1">
      <alignment horizontal="center" vertical="center"/>
    </xf>
    <xf numFmtId="10" fontId="0" fillId="12" borderId="14" xfId="5" applyNumberFormat="1" applyFont="1" applyFill="1" applyBorder="1" applyAlignment="1">
      <alignment horizontal="center" vertical="center"/>
    </xf>
    <xf numFmtId="10" fontId="0" fillId="12" borderId="5" xfId="5" applyNumberFormat="1" applyFont="1" applyFill="1" applyBorder="1" applyAlignment="1">
      <alignment horizontal="center" vertical="center"/>
    </xf>
    <xf numFmtId="10" fontId="0" fillId="12" borderId="6" xfId="5" applyNumberFormat="1" applyFont="1" applyFill="1" applyBorder="1" applyAlignment="1">
      <alignment horizontal="center" vertical="center"/>
    </xf>
    <xf numFmtId="10" fontId="0" fillId="12" borderId="8" xfId="5" applyNumberFormat="1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/>
    </xf>
    <xf numFmtId="0" fontId="5" fillId="13" borderId="33" xfId="0" applyFont="1" applyFill="1" applyBorder="1" applyAlignment="1">
      <alignment horizontal="center" vertical="center"/>
    </xf>
    <xf numFmtId="0" fontId="5" fillId="2" borderId="45" xfId="0" applyFont="1" applyFill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4" borderId="0" xfId="0" applyFill="1"/>
    <xf numFmtId="10" fontId="0" fillId="14" borderId="0" xfId="5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44" fontId="0" fillId="2" borderId="24" xfId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4" fontId="4" fillId="0" borderId="0" xfId="0" applyNumberFormat="1" applyFont="1"/>
    <xf numFmtId="0" fontId="0" fillId="9" borderId="2" xfId="0" applyFill="1" applyBorder="1"/>
    <xf numFmtId="0" fontId="0" fillId="9" borderId="5" xfId="0" applyFill="1" applyBorder="1"/>
    <xf numFmtId="0" fontId="0" fillId="2" borderId="48" xfId="0" applyFill="1" applyBorder="1"/>
    <xf numFmtId="0" fontId="9" fillId="9" borderId="2" xfId="0" applyFont="1" applyFill="1" applyBorder="1"/>
    <xf numFmtId="0" fontId="9" fillId="9" borderId="5" xfId="0" applyFont="1" applyFill="1" applyBorder="1"/>
    <xf numFmtId="0" fontId="10" fillId="2" borderId="48" xfId="0" applyFont="1" applyFill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2" fillId="8" borderId="45" xfId="0" applyFont="1" applyFill="1" applyBorder="1"/>
    <xf numFmtId="0" fontId="13" fillId="0" borderId="45" xfId="0" applyFont="1" applyBorder="1" applyAlignment="1">
      <alignment horizontal="center"/>
    </xf>
    <xf numFmtId="0" fontId="13" fillId="0" borderId="69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" fontId="13" fillId="8" borderId="45" xfId="0" applyNumberFormat="1" applyFont="1" applyFill="1" applyBorder="1" applyAlignment="1">
      <alignment horizontal="center"/>
    </xf>
    <xf numFmtId="0" fontId="12" fillId="8" borderId="12" xfId="0" applyFont="1" applyFill="1" applyBorder="1"/>
    <xf numFmtId="0" fontId="13" fillId="0" borderId="12" xfId="0" applyFont="1" applyBorder="1"/>
    <xf numFmtId="0" fontId="13" fillId="8" borderId="49" xfId="0" applyFont="1" applyFill="1" applyBorder="1" applyAlignment="1">
      <alignment horizontal="center"/>
    </xf>
    <xf numFmtId="0" fontId="13" fillId="8" borderId="8" xfId="0" applyFont="1" applyFill="1" applyBorder="1" applyAlignment="1">
      <alignment horizontal="center"/>
    </xf>
    <xf numFmtId="4" fontId="13" fillId="8" borderId="12" xfId="0" applyNumberFormat="1" applyFont="1" applyFill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3" fillId="8" borderId="44" xfId="0" applyFont="1" applyFill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/>
    </xf>
    <xf numFmtId="0" fontId="5" fillId="11" borderId="41" xfId="0" applyFont="1" applyFill="1" applyBorder="1" applyAlignment="1">
      <alignment horizontal="center" vertical="center"/>
    </xf>
    <xf numFmtId="10" fontId="0" fillId="11" borderId="24" xfId="5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4" fontId="13" fillId="8" borderId="0" xfId="0" applyNumberFormat="1" applyFont="1" applyFill="1" applyAlignment="1">
      <alignment horizontal="center"/>
    </xf>
    <xf numFmtId="4" fontId="13" fillId="10" borderId="0" xfId="0" applyNumberFormat="1" applyFont="1" applyFill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4" fontId="13" fillId="10" borderId="7" xfId="0" applyNumberFormat="1" applyFont="1" applyFill="1" applyBorder="1" applyAlignment="1">
      <alignment horizontal="center"/>
    </xf>
    <xf numFmtId="4" fontId="13" fillId="10" borderId="8" xfId="0" applyNumberFormat="1" applyFont="1" applyFill="1" applyBorder="1" applyAlignment="1">
      <alignment horizontal="center"/>
    </xf>
    <xf numFmtId="4" fontId="13" fillId="10" borderId="9" xfId="0" applyNumberFormat="1" applyFont="1" applyFill="1" applyBorder="1" applyAlignment="1">
      <alignment horizontal="center"/>
    </xf>
    <xf numFmtId="4" fontId="13" fillId="18" borderId="4" xfId="0" applyNumberFormat="1" applyFont="1" applyFill="1" applyBorder="1" applyAlignment="1">
      <alignment horizontal="center"/>
    </xf>
    <xf numFmtId="4" fontId="13" fillId="18" borderId="5" xfId="0" applyNumberFormat="1" applyFont="1" applyFill="1" applyBorder="1" applyAlignment="1">
      <alignment horizontal="center"/>
    </xf>
    <xf numFmtId="4" fontId="13" fillId="18" borderId="6" xfId="0" applyNumberFormat="1" applyFont="1" applyFill="1" applyBorder="1" applyAlignment="1">
      <alignment horizontal="center"/>
    </xf>
    <xf numFmtId="0" fontId="14" fillId="2" borderId="53" xfId="0" applyFont="1" applyFill="1" applyBorder="1" applyAlignment="1">
      <alignment horizontal="left" vertical="center"/>
    </xf>
    <xf numFmtId="0" fontId="15" fillId="0" borderId="54" xfId="0" applyFont="1" applyBorder="1" applyAlignment="1">
      <alignment horizontal="center" vertical="center"/>
    </xf>
    <xf numFmtId="0" fontId="15" fillId="0" borderId="0" xfId="0" applyFont="1"/>
    <xf numFmtId="0" fontId="15" fillId="0" borderId="55" xfId="0" applyFont="1" applyBorder="1" applyAlignment="1">
      <alignment horizontal="center" wrapText="1"/>
    </xf>
    <xf numFmtId="0" fontId="14" fillId="2" borderId="33" xfId="0" applyFont="1" applyFill="1" applyBorder="1" applyAlignment="1">
      <alignment horizontal="left" vertical="center" wrapText="1"/>
    </xf>
    <xf numFmtId="0" fontId="15" fillId="0" borderId="55" xfId="0" applyFont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6" fillId="0" borderId="45" xfId="1" applyNumberFormat="1" applyFont="1" applyFill="1" applyBorder="1" applyAlignment="1">
      <alignment horizontal="center" vertical="center"/>
    </xf>
    <xf numFmtId="0" fontId="16" fillId="0" borderId="11" xfId="1" applyNumberFormat="1" applyFont="1" applyFill="1" applyBorder="1" applyAlignment="1">
      <alignment horizontal="center" vertical="center"/>
    </xf>
    <xf numFmtId="0" fontId="16" fillId="0" borderId="12" xfId="1" applyNumberFormat="1" applyFont="1" applyFill="1" applyBorder="1" applyAlignment="1">
      <alignment horizontal="center" vertical="center"/>
    </xf>
    <xf numFmtId="44" fontId="14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4" fillId="2" borderId="60" xfId="0" applyFont="1" applyFill="1" applyBorder="1" applyAlignment="1">
      <alignment horizontal="center"/>
    </xf>
    <xf numFmtId="0" fontId="14" fillId="8" borderId="33" xfId="0" applyFont="1" applyFill="1" applyBorder="1"/>
    <xf numFmtId="0" fontId="14" fillId="0" borderId="34" xfId="0" applyFont="1" applyBorder="1" applyAlignment="1">
      <alignment horizontal="center"/>
    </xf>
    <xf numFmtId="0" fontId="14" fillId="0" borderId="55" xfId="0" applyFont="1" applyBorder="1" applyAlignment="1">
      <alignment horizontal="center"/>
    </xf>
    <xf numFmtId="4" fontId="15" fillId="0" borderId="33" xfId="0" applyNumberFormat="1" applyFont="1" applyBorder="1" applyAlignment="1">
      <alignment horizontal="center"/>
    </xf>
    <xf numFmtId="4" fontId="15" fillId="0" borderId="34" xfId="0" applyNumberFormat="1" applyFont="1" applyBorder="1" applyAlignment="1">
      <alignment horizontal="center"/>
    </xf>
    <xf numFmtId="4" fontId="15" fillId="0" borderId="41" xfId="0" applyNumberFormat="1" applyFont="1" applyBorder="1" applyAlignment="1">
      <alignment horizontal="center"/>
    </xf>
    <xf numFmtId="4" fontId="15" fillId="8" borderId="55" xfId="0" applyNumberFormat="1" applyFont="1" applyFill="1" applyBorder="1" applyAlignment="1">
      <alignment horizontal="center"/>
    </xf>
    <xf numFmtId="4" fontId="15" fillId="8" borderId="56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8" borderId="2" xfId="0" applyFont="1" applyFill="1" applyBorder="1" applyAlignment="1">
      <alignment horizontal="center"/>
    </xf>
    <xf numFmtId="4" fontId="15" fillId="8" borderId="3" xfId="0" applyNumberFormat="1" applyFont="1" applyFill="1" applyBorder="1" applyAlignment="1">
      <alignment horizontal="center"/>
    </xf>
    <xf numFmtId="4" fontId="15" fillId="8" borderId="62" xfId="0" applyNumberFormat="1" applyFont="1" applyFill="1" applyBorder="1" applyAlignment="1">
      <alignment horizontal="center"/>
    </xf>
    <xf numFmtId="0" fontId="15" fillId="0" borderId="7" xfId="0" applyFont="1" applyBorder="1" applyAlignment="1">
      <alignment horizontal="right"/>
    </xf>
    <xf numFmtId="0" fontId="15" fillId="0" borderId="9" xfId="0" applyFont="1" applyBorder="1"/>
    <xf numFmtId="0" fontId="15" fillId="8" borderId="7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/>
    </xf>
    <xf numFmtId="4" fontId="15" fillId="8" borderId="9" xfId="0" applyNumberFormat="1" applyFont="1" applyFill="1" applyBorder="1" applyAlignment="1">
      <alignment horizontal="center"/>
    </xf>
    <xf numFmtId="4" fontId="15" fillId="8" borderId="17" xfId="0" applyNumberFormat="1" applyFont="1" applyFill="1" applyBorder="1" applyAlignment="1">
      <alignment horizontal="center"/>
    </xf>
    <xf numFmtId="0" fontId="15" fillId="0" borderId="44" xfId="0" applyFont="1" applyBorder="1"/>
    <xf numFmtId="4" fontId="15" fillId="0" borderId="10" xfId="0" applyNumberFormat="1" applyFont="1" applyBorder="1" applyAlignment="1">
      <alignment horizontal="center"/>
    </xf>
    <xf numFmtId="4" fontId="15" fillId="10" borderId="75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16" borderId="0" xfId="0" applyFont="1" applyFill="1" applyAlignment="1">
      <alignment horizontal="left"/>
    </xf>
    <xf numFmtId="0" fontId="17" fillId="16" borderId="0" xfId="0" applyFont="1" applyFill="1" applyAlignment="1">
      <alignment horizontal="center"/>
    </xf>
    <xf numFmtId="44" fontId="14" fillId="2" borderId="0" xfId="1" applyFont="1" applyFill="1" applyBorder="1" applyAlignment="1">
      <alignment horizontal="center" vertical="center" wrapText="1"/>
    </xf>
    <xf numFmtId="44" fontId="15" fillId="0" borderId="0" xfId="0" applyNumberFormat="1" applyFont="1"/>
    <xf numFmtId="0" fontId="14" fillId="0" borderId="0" xfId="0" applyFont="1" applyAlignment="1">
      <alignment horizontal="center"/>
    </xf>
    <xf numFmtId="0" fontId="14" fillId="2" borderId="33" xfId="0" applyFont="1" applyFill="1" applyBorder="1" applyAlignment="1">
      <alignment horizontal="right" vertical="center"/>
    </xf>
    <xf numFmtId="9" fontId="15" fillId="0" borderId="55" xfId="5" applyFont="1" applyBorder="1" applyAlignment="1">
      <alignment horizontal="center" vertical="center"/>
    </xf>
    <xf numFmtId="0" fontId="14" fillId="2" borderId="1" xfId="0" applyFont="1" applyFill="1" applyBorder="1"/>
    <xf numFmtId="0" fontId="14" fillId="2" borderId="3" xfId="0" applyFont="1" applyFill="1" applyBorder="1" applyAlignment="1">
      <alignment horizontal="center"/>
    </xf>
    <xf numFmtId="0" fontId="14" fillId="2" borderId="13" xfId="0" applyFont="1" applyFill="1" applyBorder="1"/>
    <xf numFmtId="0" fontId="14" fillId="2" borderId="24" xfId="0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44" fontId="15" fillId="0" borderId="5" xfId="0" applyNumberFormat="1" applyFont="1" applyBorder="1" applyAlignment="1">
      <alignment horizontal="center"/>
    </xf>
    <xf numFmtId="44" fontId="15" fillId="7" borderId="5" xfId="0" applyNumberFormat="1" applyFont="1" applyFill="1" applyBorder="1" applyAlignment="1">
      <alignment horizontal="center"/>
    </xf>
    <xf numFmtId="0" fontId="14" fillId="2" borderId="4" xfId="0" applyFont="1" applyFill="1" applyBorder="1"/>
    <xf numFmtId="0" fontId="14" fillId="2" borderId="43" xfId="0" applyFont="1" applyFill="1" applyBorder="1" applyAlignment="1">
      <alignment horizontal="center"/>
    </xf>
    <xf numFmtId="0" fontId="15" fillId="0" borderId="5" xfId="1" applyNumberFormat="1" applyFont="1" applyFill="1" applyBorder="1" applyAlignment="1">
      <alignment horizontal="center"/>
    </xf>
    <xf numFmtId="44" fontId="15" fillId="0" borderId="5" xfId="1" applyFont="1" applyFill="1" applyBorder="1" applyAlignment="1">
      <alignment horizontal="center"/>
    </xf>
    <xf numFmtId="44" fontId="15" fillId="4" borderId="5" xfId="1" applyFont="1" applyFill="1" applyBorder="1" applyAlignment="1">
      <alignment horizontal="center"/>
    </xf>
    <xf numFmtId="0" fontId="14" fillId="2" borderId="53" xfId="0" applyFont="1" applyFill="1" applyBorder="1"/>
    <xf numFmtId="0" fontId="14" fillId="2" borderId="22" xfId="0" applyFont="1" applyFill="1" applyBorder="1" applyAlignment="1">
      <alignment horizontal="center"/>
    </xf>
    <xf numFmtId="44" fontId="14" fillId="2" borderId="10" xfId="1" applyFont="1" applyFill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/>
    </xf>
    <xf numFmtId="2" fontId="14" fillId="2" borderId="10" xfId="0" applyNumberFormat="1" applyFont="1" applyFill="1" applyBorder="1"/>
    <xf numFmtId="0" fontId="14" fillId="2" borderId="10" xfId="0" applyFont="1" applyFill="1" applyBorder="1"/>
    <xf numFmtId="0" fontId="14" fillId="8" borderId="56" xfId="0" applyFont="1" applyFill="1" applyBorder="1"/>
    <xf numFmtId="0" fontId="15" fillId="0" borderId="3" xfId="0" applyFont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67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73" xfId="0" applyFont="1" applyFill="1" applyBorder="1" applyAlignment="1">
      <alignment horizontal="center" vertical="center"/>
    </xf>
    <xf numFmtId="0" fontId="17" fillId="16" borderId="63" xfId="0" applyFont="1" applyFill="1" applyBorder="1" applyAlignment="1">
      <alignment horizontal="center" vertical="center"/>
    </xf>
    <xf numFmtId="0" fontId="17" fillId="16" borderId="74" xfId="0" applyFont="1" applyFill="1" applyBorder="1" applyAlignment="1">
      <alignment horizontal="center" vertical="center"/>
    </xf>
    <xf numFmtId="44" fontId="16" fillId="15" borderId="45" xfId="1" applyFont="1" applyFill="1" applyBorder="1" applyAlignment="1">
      <alignment horizontal="center" vertical="center"/>
    </xf>
    <xf numFmtId="44" fontId="16" fillId="15" borderId="67" xfId="1" applyFont="1" applyFill="1" applyBorder="1" applyAlignment="1">
      <alignment horizontal="center" vertical="center"/>
    </xf>
    <xf numFmtId="44" fontId="16" fillId="15" borderId="11" xfId="1" applyFont="1" applyFill="1" applyBorder="1" applyAlignment="1">
      <alignment horizontal="center" vertical="center"/>
    </xf>
    <xf numFmtId="44" fontId="16" fillId="15" borderId="20" xfId="1" applyFont="1" applyFill="1" applyBorder="1" applyAlignment="1">
      <alignment horizontal="center" vertical="center"/>
    </xf>
    <xf numFmtId="44" fontId="16" fillId="15" borderId="12" xfId="1" applyFont="1" applyFill="1" applyBorder="1" applyAlignment="1">
      <alignment horizontal="center" vertical="center"/>
    </xf>
    <xf numFmtId="44" fontId="16" fillId="15" borderId="47" xfId="1" applyFont="1" applyFill="1" applyBorder="1" applyAlignment="1">
      <alignment horizontal="center" vertical="center"/>
    </xf>
    <xf numFmtId="0" fontId="15" fillId="15" borderId="3" xfId="0" applyFont="1" applyFill="1" applyBorder="1" applyAlignment="1">
      <alignment horizontal="center"/>
    </xf>
    <xf numFmtId="0" fontId="15" fillId="15" borderId="6" xfId="0" applyFont="1" applyFill="1" applyBorder="1" applyAlignment="1">
      <alignment horizontal="center"/>
    </xf>
    <xf numFmtId="0" fontId="13" fillId="15" borderId="9" xfId="0" applyFont="1" applyFill="1" applyBorder="1" applyAlignment="1">
      <alignment horizontal="center"/>
    </xf>
    <xf numFmtId="0" fontId="15" fillId="0" borderId="67" xfId="0" applyFont="1" applyBorder="1"/>
    <xf numFmtId="0" fontId="15" fillId="0" borderId="62" xfId="0" applyFont="1" applyBorder="1"/>
    <xf numFmtId="0" fontId="14" fillId="2" borderId="33" xfId="0" applyFont="1" applyFill="1" applyBorder="1" applyAlignment="1">
      <alignment horizontal="left" wrapText="1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8" fillId="17" borderId="52" xfId="0" applyFont="1" applyFill="1" applyBorder="1"/>
    <xf numFmtId="0" fontId="15" fillId="0" borderId="52" xfId="0" applyFont="1" applyBorder="1"/>
    <xf numFmtId="0" fontId="14" fillId="7" borderId="19" xfId="0" applyFont="1" applyFill="1" applyBorder="1"/>
    <xf numFmtId="0" fontId="14" fillId="7" borderId="35" xfId="0" applyFont="1" applyFill="1" applyBorder="1" applyAlignment="1">
      <alignment horizontal="center"/>
    </xf>
    <xf numFmtId="0" fontId="14" fillId="7" borderId="65" xfId="0" applyFont="1" applyFill="1" applyBorder="1" applyAlignment="1">
      <alignment horizontal="center"/>
    </xf>
    <xf numFmtId="0" fontId="14" fillId="7" borderId="19" xfId="0" applyFont="1" applyFill="1" applyBorder="1" applyAlignment="1">
      <alignment horizontal="center"/>
    </xf>
    <xf numFmtId="0" fontId="14" fillId="7" borderId="36" xfId="0" applyFont="1" applyFill="1" applyBorder="1" applyAlignment="1">
      <alignment horizontal="center"/>
    </xf>
    <xf numFmtId="0" fontId="15" fillId="0" borderId="4" xfId="0" applyFont="1" applyBorder="1"/>
    <xf numFmtId="0" fontId="15" fillId="0" borderId="7" xfId="0" applyFont="1" applyBorder="1"/>
    <xf numFmtId="2" fontId="15" fillId="0" borderId="10" xfId="0" applyNumberFormat="1" applyFont="1" applyBorder="1" applyAlignment="1">
      <alignment horizontal="center" vertical="center"/>
    </xf>
    <xf numFmtId="0" fontId="18" fillId="17" borderId="10" xfId="0" applyFont="1" applyFill="1" applyBorder="1" applyAlignment="1">
      <alignment horizontal="center"/>
    </xf>
    <xf numFmtId="165" fontId="15" fillId="0" borderId="2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8" borderId="37" xfId="0" applyFont="1" applyFill="1" applyBorder="1"/>
    <xf numFmtId="0" fontId="14" fillId="7" borderId="33" xfId="0" applyFont="1" applyFill="1" applyBorder="1"/>
    <xf numFmtId="0" fontId="14" fillId="7" borderId="34" xfId="0" applyFont="1" applyFill="1" applyBorder="1" applyAlignment="1">
      <alignment horizontal="center"/>
    </xf>
    <xf numFmtId="0" fontId="14" fillId="7" borderId="41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8" borderId="38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44" fontId="15" fillId="0" borderId="43" xfId="1" applyFont="1" applyBorder="1" applyAlignment="1">
      <alignment horizontal="center"/>
    </xf>
    <xf numFmtId="44" fontId="15" fillId="0" borderId="6" xfId="1" applyFont="1" applyBorder="1" applyAlignment="1">
      <alignment horizontal="center"/>
    </xf>
    <xf numFmtId="0" fontId="15" fillId="6" borderId="37" xfId="0" applyFont="1" applyFill="1" applyBorder="1"/>
    <xf numFmtId="0" fontId="15" fillId="0" borderId="38" xfId="0" applyFont="1" applyBorder="1" applyAlignment="1">
      <alignment horizontal="center"/>
    </xf>
    <xf numFmtId="0" fontId="15" fillId="0" borderId="37" xfId="0" applyFont="1" applyBorder="1"/>
    <xf numFmtId="0" fontId="15" fillId="9" borderId="2" xfId="0" applyFont="1" applyFill="1" applyBorder="1"/>
    <xf numFmtId="0" fontId="15" fillId="9" borderId="5" xfId="0" applyFont="1" applyFill="1" applyBorder="1"/>
    <xf numFmtId="0" fontId="15" fillId="2" borderId="48" xfId="0" applyFont="1" applyFill="1" applyBorder="1"/>
    <xf numFmtId="0" fontId="15" fillId="0" borderId="0" xfId="0" applyFont="1" applyAlignment="1">
      <alignment horizontal="right"/>
    </xf>
    <xf numFmtId="0" fontId="14" fillId="0" borderId="5" xfId="0" applyFont="1" applyBorder="1" applyAlignment="1">
      <alignment horizontal="center"/>
    </xf>
    <xf numFmtId="0" fontId="19" fillId="5" borderId="22" xfId="2" applyFont="1" applyFill="1" applyBorder="1" applyAlignment="1">
      <alignment horizontal="center"/>
    </xf>
    <xf numFmtId="0" fontId="19" fillId="5" borderId="23" xfId="2" applyFont="1" applyFill="1" applyBorder="1" applyAlignment="1">
      <alignment horizontal="center"/>
    </xf>
    <xf numFmtId="0" fontId="19" fillId="5" borderId="24" xfId="2" applyFont="1" applyFill="1" applyBorder="1" applyAlignment="1">
      <alignment horizontal="center"/>
    </xf>
    <xf numFmtId="0" fontId="19" fillId="5" borderId="14" xfId="2" applyFont="1" applyFill="1" applyBorder="1" applyAlignment="1">
      <alignment horizontal="center"/>
    </xf>
    <xf numFmtId="0" fontId="19" fillId="5" borderId="5" xfId="2" applyFont="1" applyFill="1" applyBorder="1" applyAlignment="1">
      <alignment horizontal="center"/>
    </xf>
    <xf numFmtId="2" fontId="3" fillId="5" borderId="25" xfId="2" applyNumberFormat="1" applyFont="1" applyFill="1" applyBorder="1" applyAlignment="1">
      <alignment horizontal="center"/>
    </xf>
    <xf numFmtId="2" fontId="3" fillId="5" borderId="26" xfId="2" applyNumberFormat="1" applyFont="1" applyFill="1" applyBorder="1" applyAlignment="1">
      <alignment horizontal="center"/>
    </xf>
    <xf numFmtId="0" fontId="20" fillId="0" borderId="23" xfId="2" applyFont="1" applyBorder="1" applyAlignment="1">
      <alignment vertical="center"/>
    </xf>
    <xf numFmtId="0" fontId="3" fillId="0" borderId="27" xfId="2" applyFont="1" applyBorder="1" applyAlignment="1">
      <alignment horizontal="center"/>
    </xf>
    <xf numFmtId="2" fontId="3" fillId="0" borderId="0" xfId="3" applyNumberFormat="1" applyFont="1" applyAlignment="1">
      <alignment horizontal="center"/>
    </xf>
    <xf numFmtId="4" fontId="3" fillId="0" borderId="6" xfId="2" applyNumberFormat="1" applyFont="1" applyBorder="1" applyAlignment="1">
      <alignment horizontal="center"/>
    </xf>
    <xf numFmtId="4" fontId="3" fillId="2" borderId="5" xfId="2" applyNumberFormat="1" applyFont="1" applyFill="1" applyBorder="1" applyAlignment="1">
      <alignment horizontal="center"/>
    </xf>
    <xf numFmtId="0" fontId="20" fillId="0" borderId="26" xfId="2" applyFont="1" applyBorder="1" applyAlignment="1">
      <alignment vertical="center"/>
    </xf>
    <xf numFmtId="4" fontId="3" fillId="0" borderId="5" xfId="2" applyNumberFormat="1" applyFont="1" applyBorder="1" applyAlignment="1">
      <alignment horizontal="center"/>
    </xf>
    <xf numFmtId="0" fontId="20" fillId="0" borderId="26" xfId="2" applyFont="1" applyBorder="1"/>
    <xf numFmtId="2" fontId="3" fillId="5" borderId="14" xfId="2" applyNumberFormat="1" applyFont="1" applyFill="1" applyBorder="1" applyAlignment="1">
      <alignment horizontal="center"/>
    </xf>
    <xf numFmtId="4" fontId="3" fillId="0" borderId="38" xfId="2" applyNumberFormat="1" applyFont="1" applyBorder="1" applyAlignment="1">
      <alignment horizontal="center"/>
    </xf>
    <xf numFmtId="2" fontId="3" fillId="2" borderId="0" xfId="3" applyNumberFormat="1" applyFont="1" applyFill="1" applyAlignment="1">
      <alignment horizontal="center"/>
    </xf>
    <xf numFmtId="2" fontId="3" fillId="5" borderId="24" xfId="2" applyNumberFormat="1" applyFont="1" applyFill="1" applyBorder="1" applyAlignment="1">
      <alignment horizontal="center"/>
    </xf>
    <xf numFmtId="0" fontId="20" fillId="0" borderId="14" xfId="2" applyFont="1" applyBorder="1"/>
    <xf numFmtId="0" fontId="3" fillId="0" borderId="29" xfId="2" applyFont="1" applyBorder="1" applyAlignment="1">
      <alignment horizontal="center"/>
    </xf>
    <xf numFmtId="2" fontId="3" fillId="0" borderId="28" xfId="3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44" fontId="15" fillId="0" borderId="0" xfId="1" applyFont="1"/>
    <xf numFmtId="165" fontId="15" fillId="8" borderId="2" xfId="0" applyNumberFormat="1" applyFont="1" applyFill="1" applyBorder="1" applyAlignment="1">
      <alignment horizontal="center" vertical="center"/>
    </xf>
    <xf numFmtId="165" fontId="15" fillId="8" borderId="5" xfId="0" applyNumberFormat="1" applyFont="1" applyFill="1" applyBorder="1" applyAlignment="1">
      <alignment horizontal="center" vertical="center"/>
    </xf>
    <xf numFmtId="165" fontId="15" fillId="8" borderId="3" xfId="0" applyNumberFormat="1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2" fontId="15" fillId="8" borderId="5" xfId="0" applyNumberFormat="1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5" fillId="8" borderId="62" xfId="0" applyFont="1" applyFill="1" applyBorder="1" applyAlignment="1">
      <alignment horizontal="center"/>
    </xf>
    <xf numFmtId="0" fontId="15" fillId="8" borderId="26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/>
    </xf>
    <xf numFmtId="44" fontId="15" fillId="8" borderId="43" xfId="1" applyFont="1" applyFill="1" applyBorder="1" applyAlignment="1">
      <alignment horizontal="center"/>
    </xf>
    <xf numFmtId="44" fontId="15" fillId="8" borderId="6" xfId="1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44" fontId="15" fillId="0" borderId="3" xfId="1" applyFont="1" applyBorder="1" applyAlignment="1">
      <alignment horizontal="center"/>
    </xf>
    <xf numFmtId="44" fontId="15" fillId="0" borderId="36" xfId="1" applyFont="1" applyBorder="1" applyAlignment="1">
      <alignment horizontal="center"/>
    </xf>
    <xf numFmtId="0" fontId="19" fillId="5" borderId="30" xfId="2" applyFont="1" applyFill="1" applyBorder="1" applyAlignment="1">
      <alignment horizontal="center"/>
    </xf>
    <xf numFmtId="0" fontId="19" fillId="5" borderId="6" xfId="2" applyFont="1" applyFill="1" applyBorder="1" applyAlignment="1">
      <alignment horizontal="center"/>
    </xf>
    <xf numFmtId="0" fontId="19" fillId="5" borderId="31" xfId="2" applyFont="1" applyFill="1" applyBorder="1" applyAlignment="1">
      <alignment horizontal="center"/>
    </xf>
    <xf numFmtId="4" fontId="3" fillId="0" borderId="31" xfId="2" applyNumberFormat="1" applyFont="1" applyBorder="1" applyAlignment="1">
      <alignment horizontal="center"/>
    </xf>
    <xf numFmtId="4" fontId="3" fillId="0" borderId="4" xfId="2" applyNumberFormat="1" applyFont="1" applyBorder="1" applyAlignment="1">
      <alignment horizontal="center"/>
    </xf>
    <xf numFmtId="4" fontId="3" fillId="0" borderId="37" xfId="2" applyNumberFormat="1" applyFont="1" applyBorder="1" applyAlignment="1">
      <alignment horizontal="center"/>
    </xf>
    <xf numFmtId="4" fontId="3" fillId="0" borderId="26" xfId="2" applyNumberFormat="1" applyFont="1" applyBorder="1" applyAlignment="1">
      <alignment horizontal="center"/>
    </xf>
    <xf numFmtId="4" fontId="3" fillId="0" borderId="32" xfId="2" applyNumberFormat="1" applyFont="1" applyBorder="1" applyAlignment="1">
      <alignment horizontal="center"/>
    </xf>
    <xf numFmtId="4" fontId="3" fillId="0" borderId="7" xfId="2" applyNumberFormat="1" applyFont="1" applyBorder="1" applyAlignment="1">
      <alignment horizontal="center"/>
    </xf>
    <xf numFmtId="4" fontId="3" fillId="0" borderId="8" xfId="2" applyNumberFormat="1" applyFont="1" applyBorder="1" applyAlignment="1">
      <alignment horizontal="center"/>
    </xf>
    <xf numFmtId="4" fontId="3" fillId="0" borderId="9" xfId="2" applyNumberFormat="1" applyFont="1" applyBorder="1" applyAlignment="1">
      <alignment horizontal="center"/>
    </xf>
    <xf numFmtId="0" fontId="14" fillId="19" borderId="19" xfId="0" applyFont="1" applyFill="1" applyBorder="1" applyAlignment="1">
      <alignment vertical="center"/>
    </xf>
    <xf numFmtId="0" fontId="13" fillId="0" borderId="1" xfId="0" applyFont="1" applyBorder="1"/>
    <xf numFmtId="44" fontId="13" fillId="0" borderId="3" xfId="0" applyNumberFormat="1" applyFont="1" applyBorder="1"/>
    <xf numFmtId="44" fontId="13" fillId="0" borderId="6" xfId="0" applyNumberFormat="1" applyFont="1" applyBorder="1"/>
    <xf numFmtId="44" fontId="13" fillId="0" borderId="9" xfId="0" applyNumberFormat="1" applyFont="1" applyBorder="1"/>
    <xf numFmtId="0" fontId="12" fillId="2" borderId="1" xfId="0" applyFont="1" applyFill="1" applyBorder="1" applyAlignment="1">
      <alignment horizontal="center"/>
    </xf>
    <xf numFmtId="44" fontId="12" fillId="2" borderId="3" xfId="0" applyNumberFormat="1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2" fontId="15" fillId="4" borderId="1" xfId="0" applyNumberFormat="1" applyFont="1" applyFill="1" applyBorder="1" applyAlignment="1">
      <alignment horizontal="center"/>
    </xf>
    <xf numFmtId="44" fontId="15" fillId="4" borderId="2" xfId="1" applyFont="1" applyFill="1" applyBorder="1" applyAlignment="1">
      <alignment horizontal="center"/>
    </xf>
    <xf numFmtId="44" fontId="15" fillId="4" borderId="3" xfId="1" applyFont="1" applyFill="1" applyBorder="1"/>
    <xf numFmtId="0" fontId="14" fillId="2" borderId="9" xfId="0" applyFont="1" applyFill="1" applyBorder="1" applyAlignment="1">
      <alignment horizontal="center" vertical="center"/>
    </xf>
    <xf numFmtId="2" fontId="15" fillId="4" borderId="7" xfId="0" applyNumberFormat="1" applyFont="1" applyFill="1" applyBorder="1" applyAlignment="1">
      <alignment horizontal="center"/>
    </xf>
    <xf numFmtId="44" fontId="15" fillId="4" borderId="8" xfId="1" applyFont="1" applyFill="1" applyBorder="1" applyAlignment="1">
      <alignment horizontal="center"/>
    </xf>
    <xf numFmtId="44" fontId="15" fillId="4" borderId="9" xfId="1" applyFont="1" applyFill="1" applyBorder="1"/>
    <xf numFmtId="0" fontId="14" fillId="8" borderId="1" xfId="0" applyFont="1" applyFill="1" applyBorder="1"/>
    <xf numFmtId="0" fontId="14" fillId="0" borderId="2" xfId="0" applyFont="1" applyBorder="1" applyAlignment="1">
      <alignment horizontal="center"/>
    </xf>
    <xf numFmtId="0" fontId="14" fillId="8" borderId="7" xfId="0" applyFont="1" applyFill="1" applyBorder="1"/>
    <xf numFmtId="0" fontId="14" fillId="0" borderId="8" xfId="0" applyFont="1" applyBorder="1" applyAlignment="1">
      <alignment horizontal="center"/>
    </xf>
    <xf numFmtId="2" fontId="15" fillId="4" borderId="47" xfId="0" applyNumberFormat="1" applyFont="1" applyFill="1" applyBorder="1" applyAlignment="1">
      <alignment horizontal="center"/>
    </xf>
    <xf numFmtId="0" fontId="14" fillId="0" borderId="68" xfId="0" applyFont="1" applyBorder="1" applyAlignment="1">
      <alignment horizontal="center"/>
    </xf>
    <xf numFmtId="0" fontId="14" fillId="8" borderId="67" xfId="0" applyFont="1" applyFill="1" applyBorder="1"/>
    <xf numFmtId="0" fontId="14" fillId="8" borderId="47" xfId="0" applyFont="1" applyFill="1" applyBorder="1"/>
    <xf numFmtId="0" fontId="18" fillId="16" borderId="80" xfId="0" applyFont="1" applyFill="1" applyBorder="1" applyAlignment="1">
      <alignment horizontal="left" vertical="center" wrapText="1"/>
    </xf>
    <xf numFmtId="44" fontId="18" fillId="16" borderId="81" xfId="1" applyFont="1" applyFill="1" applyBorder="1" applyAlignment="1">
      <alignment horizontal="left" vertical="center" wrapText="1"/>
    </xf>
    <xf numFmtId="0" fontId="18" fillId="16" borderId="82" xfId="0" applyFont="1" applyFill="1" applyBorder="1" applyAlignment="1">
      <alignment horizontal="left" vertical="center" wrapText="1"/>
    </xf>
    <xf numFmtId="44" fontId="18" fillId="16" borderId="83" xfId="1" applyFont="1" applyFill="1" applyBorder="1" applyAlignment="1">
      <alignment horizontal="left" vertical="center" wrapText="1"/>
    </xf>
    <xf numFmtId="0" fontId="18" fillId="16" borderId="84" xfId="0" applyFont="1" applyFill="1" applyBorder="1" applyAlignment="1">
      <alignment horizontal="left" vertical="center" wrapText="1"/>
    </xf>
    <xf numFmtId="44" fontId="18" fillId="16" borderId="85" xfId="1" applyFont="1" applyFill="1" applyBorder="1" applyAlignment="1">
      <alignment horizontal="left" vertical="center" wrapText="1"/>
    </xf>
    <xf numFmtId="2" fontId="15" fillId="0" borderId="0" xfId="0" applyNumberFormat="1" applyFont="1"/>
    <xf numFmtId="10" fontId="15" fillId="0" borderId="0" xfId="5" applyNumberFormat="1" applyFont="1"/>
    <xf numFmtId="0" fontId="14" fillId="8" borderId="19" xfId="0" applyFont="1" applyFill="1" applyBorder="1"/>
    <xf numFmtId="4" fontId="15" fillId="0" borderId="35" xfId="0" applyNumberFormat="1" applyFont="1" applyBorder="1" applyAlignment="1">
      <alignment horizontal="center"/>
    </xf>
    <xf numFmtId="4" fontId="15" fillId="0" borderId="65" xfId="0" applyNumberFormat="1" applyFont="1" applyBorder="1" applyAlignment="1">
      <alignment horizontal="center"/>
    </xf>
    <xf numFmtId="44" fontId="14" fillId="2" borderId="10" xfId="1" applyFont="1" applyFill="1" applyBorder="1"/>
    <xf numFmtId="44" fontId="15" fillId="0" borderId="86" xfId="0" applyNumberFormat="1" applyFont="1" applyBorder="1" applyAlignment="1">
      <alignment horizontal="center"/>
    </xf>
    <xf numFmtId="44" fontId="13" fillId="0" borderId="0" xfId="0" applyNumberFormat="1" applyFont="1"/>
    <xf numFmtId="10" fontId="13" fillId="0" borderId="5" xfId="5" applyNumberFormat="1" applyFont="1" applyBorder="1"/>
    <xf numFmtId="44" fontId="15" fillId="0" borderId="87" xfId="0" applyNumberFormat="1" applyFont="1" applyBorder="1" applyAlignment="1">
      <alignment horizontal="center"/>
    </xf>
    <xf numFmtId="0" fontId="15" fillId="0" borderId="60" xfId="0" applyFont="1" applyBorder="1"/>
    <xf numFmtId="0" fontId="15" fillId="0" borderId="59" xfId="0" applyFont="1" applyBorder="1"/>
    <xf numFmtId="44" fontId="15" fillId="0" borderId="9" xfId="1" applyFont="1" applyBorder="1" applyAlignment="1">
      <alignment horizontal="center"/>
    </xf>
    <xf numFmtId="2" fontId="15" fillId="0" borderId="69" xfId="0" applyNumberFormat="1" applyFont="1" applyBorder="1" applyAlignment="1">
      <alignment horizontal="center"/>
    </xf>
    <xf numFmtId="2" fontId="15" fillId="0" borderId="76" xfId="0" applyNumberFormat="1" applyFont="1" applyBorder="1" applyAlignment="1">
      <alignment horizontal="center"/>
    </xf>
    <xf numFmtId="2" fontId="15" fillId="0" borderId="33" xfId="1" applyNumberFormat="1" applyFont="1" applyBorder="1" applyAlignment="1">
      <alignment horizontal="center"/>
    </xf>
    <xf numFmtId="44" fontId="15" fillId="0" borderId="55" xfId="1" applyFont="1" applyBorder="1" applyAlignment="1">
      <alignment horizontal="center"/>
    </xf>
    <xf numFmtId="0" fontId="14" fillId="7" borderId="1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5" fillId="15" borderId="9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left" vertical="center" wrapText="1"/>
    </xf>
    <xf numFmtId="0" fontId="14" fillId="15" borderId="10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left"/>
    </xf>
    <xf numFmtId="0" fontId="14" fillId="2" borderId="56" xfId="0" applyFont="1" applyFill="1" applyBorder="1" applyAlignment="1">
      <alignment horizontal="left" vertical="center" wrapText="1"/>
    </xf>
    <xf numFmtId="0" fontId="15" fillId="15" borderId="10" xfId="0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10" fontId="0" fillId="4" borderId="13" xfId="5" applyNumberFormat="1" applyFont="1" applyFill="1" applyBorder="1" applyAlignment="1">
      <alignment horizontal="center" vertical="center"/>
    </xf>
    <xf numFmtId="44" fontId="0" fillId="4" borderId="4" xfId="1" applyFont="1" applyFill="1" applyBorder="1" applyAlignment="1">
      <alignment horizontal="center" vertical="center"/>
    </xf>
    <xf numFmtId="44" fontId="0" fillId="4" borderId="13" xfId="1" applyFont="1" applyFill="1" applyBorder="1" applyAlignment="1">
      <alignment horizontal="center" vertical="center"/>
    </xf>
    <xf numFmtId="44" fontId="0" fillId="4" borderId="7" xfId="1" applyFont="1" applyFill="1" applyBorder="1" applyAlignment="1">
      <alignment horizontal="center" vertical="center"/>
    </xf>
    <xf numFmtId="44" fontId="15" fillId="0" borderId="55" xfId="1" applyFont="1" applyBorder="1" applyAlignment="1">
      <alignment horizontal="center" wrapText="1"/>
    </xf>
    <xf numFmtId="0" fontId="0" fillId="0" borderId="88" xfId="0" applyBorder="1"/>
    <xf numFmtId="0" fontId="0" fillId="0" borderId="51" xfId="0" applyBorder="1"/>
    <xf numFmtId="0" fontId="15" fillId="20" borderId="1" xfId="0" applyFont="1" applyFill="1" applyBorder="1"/>
    <xf numFmtId="4" fontId="0" fillId="20" borderId="3" xfId="0" applyNumberFormat="1" applyFill="1" applyBorder="1"/>
    <xf numFmtId="0" fontId="15" fillId="6" borderId="4" xfId="0" applyFont="1" applyFill="1" applyBorder="1"/>
    <xf numFmtId="4" fontId="0" fillId="0" borderId="6" xfId="0" applyNumberFormat="1" applyBorder="1"/>
    <xf numFmtId="0" fontId="15" fillId="20" borderId="4" xfId="0" applyFont="1" applyFill="1" applyBorder="1"/>
    <xf numFmtId="4" fontId="0" fillId="20" borderId="6" xfId="0" applyNumberFormat="1" applyFill="1" applyBorder="1"/>
    <xf numFmtId="0" fontId="15" fillId="6" borderId="7" xfId="0" applyFont="1" applyFill="1" applyBorder="1"/>
    <xf numFmtId="4" fontId="0" fillId="0" borderId="9" xfId="0" applyNumberFormat="1" applyBorder="1"/>
    <xf numFmtId="44" fontId="0" fillId="20" borderId="45" xfId="1" applyFont="1" applyFill="1" applyBorder="1"/>
    <xf numFmtId="44" fontId="0" fillId="0" borderId="11" xfId="1" applyFont="1" applyBorder="1"/>
    <xf numFmtId="44" fontId="0" fillId="20" borderId="11" xfId="1" applyFont="1" applyFill="1" applyBorder="1"/>
    <xf numFmtId="44" fontId="0" fillId="0" borderId="12" xfId="1" applyFont="1" applyBorder="1"/>
    <xf numFmtId="4" fontId="0" fillId="9" borderId="58" xfId="0" applyNumberFormat="1" applyFill="1" applyBorder="1" applyAlignment="1">
      <alignment horizontal="center"/>
    </xf>
    <xf numFmtId="0" fontId="0" fillId="20" borderId="45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1" fillId="16" borderId="0" xfId="0" applyFont="1" applyFill="1" applyAlignment="1">
      <alignment horizontal="center"/>
    </xf>
    <xf numFmtId="9" fontId="21" fillId="16" borderId="0" xfId="5" applyFont="1" applyFill="1" applyAlignment="1">
      <alignment horizontal="center"/>
    </xf>
    <xf numFmtId="0" fontId="0" fillId="4" borderId="10" xfId="0" applyFill="1" applyBorder="1" applyAlignment="1">
      <alignment horizontal="center"/>
    </xf>
    <xf numFmtId="44" fontId="0" fillId="21" borderId="10" xfId="0" applyNumberFormat="1" applyFill="1" applyBorder="1" applyAlignment="1">
      <alignment horizontal="center"/>
    </xf>
    <xf numFmtId="44" fontId="0" fillId="2" borderId="10" xfId="0" applyNumberFormat="1" applyFill="1" applyBorder="1" applyAlignment="1">
      <alignment horizontal="center"/>
    </xf>
    <xf numFmtId="4" fontId="0" fillId="21" borderId="10" xfId="0" applyNumberFormat="1" applyFill="1" applyBorder="1" applyAlignment="1">
      <alignment horizontal="center"/>
    </xf>
    <xf numFmtId="9" fontId="0" fillId="20" borderId="2" xfId="0" applyNumberFormat="1" applyFill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20" borderId="5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2" fontId="0" fillId="20" borderId="1" xfId="0" applyNumberFormat="1" applyFill="1" applyBorder="1"/>
    <xf numFmtId="2" fontId="0" fillId="0" borderId="4" xfId="0" applyNumberFormat="1" applyBorder="1"/>
    <xf numFmtId="2" fontId="0" fillId="20" borderId="4" xfId="0" applyNumberFormat="1" applyFill="1" applyBorder="1"/>
    <xf numFmtId="2" fontId="0" fillId="0" borderId="7" xfId="0" applyNumberFormat="1" applyBorder="1"/>
    <xf numFmtId="2" fontId="0" fillId="0" borderId="0" xfId="0" applyNumberFormat="1"/>
    <xf numFmtId="9" fontId="0" fillId="0" borderId="0" xfId="5" applyFont="1"/>
    <xf numFmtId="10" fontId="0" fillId="0" borderId="0" xfId="5" applyNumberFormat="1" applyFont="1"/>
    <xf numFmtId="0" fontId="22" fillId="0" borderId="10" xfId="0" applyFont="1" applyBorder="1" applyAlignment="1">
      <alignment horizontal="justify" vertical="center" wrapText="1"/>
    </xf>
    <xf numFmtId="0" fontId="22" fillId="0" borderId="58" xfId="0" applyFont="1" applyBorder="1" applyAlignment="1">
      <alignment horizontal="justify" vertical="center" wrapText="1"/>
    </xf>
    <xf numFmtId="0" fontId="23" fillId="0" borderId="32" xfId="0" applyFont="1" applyBorder="1" applyAlignment="1">
      <alignment horizontal="justify" vertical="center" wrapText="1"/>
    </xf>
    <xf numFmtId="0" fontId="23" fillId="0" borderId="89" xfId="0" applyFont="1" applyBorder="1" applyAlignment="1">
      <alignment horizontal="justify" vertical="center" wrapText="1"/>
    </xf>
    <xf numFmtId="8" fontId="0" fillId="0" borderId="0" xfId="0" applyNumberFormat="1"/>
    <xf numFmtId="8" fontId="23" fillId="0" borderId="89" xfId="0" applyNumberFormat="1" applyFont="1" applyBorder="1" applyAlignment="1">
      <alignment horizontal="justify" vertical="center" wrapText="1"/>
    </xf>
    <xf numFmtId="0" fontId="25" fillId="0" borderId="5" xfId="0" applyFont="1" applyBorder="1" applyAlignment="1">
      <alignment horizontal="center"/>
    </xf>
    <xf numFmtId="0" fontId="25" fillId="0" borderId="0" xfId="0" applyFont="1"/>
    <xf numFmtId="164" fontId="25" fillId="0" borderId="0" xfId="0" applyNumberFormat="1" applyFont="1"/>
    <xf numFmtId="0" fontId="25" fillId="0" borderId="4" xfId="0" applyFont="1" applyBorder="1" applyAlignment="1">
      <alignment horizontal="center"/>
    </xf>
    <xf numFmtId="0" fontId="25" fillId="6" borderId="5" xfId="0" applyFont="1" applyFill="1" applyBorder="1"/>
    <xf numFmtId="164" fontId="25" fillId="6" borderId="6" xfId="1" applyNumberFormat="1" applyFont="1" applyFill="1" applyBorder="1"/>
    <xf numFmtId="0" fontId="25" fillId="8" borderId="1" xfId="0" applyFont="1" applyFill="1" applyBorder="1" applyAlignment="1">
      <alignment horizontal="center"/>
    </xf>
    <xf numFmtId="0" fontId="25" fillId="8" borderId="2" xfId="0" applyFont="1" applyFill="1" applyBorder="1"/>
    <xf numFmtId="0" fontId="25" fillId="8" borderId="2" xfId="0" applyFont="1" applyFill="1" applyBorder="1" applyAlignment="1">
      <alignment horizontal="center"/>
    </xf>
    <xf numFmtId="164" fontId="25" fillId="8" borderId="3" xfId="1" applyNumberFormat="1" applyFont="1" applyFill="1" applyBorder="1"/>
    <xf numFmtId="0" fontId="24" fillId="7" borderId="33" xfId="0" applyFont="1" applyFill="1" applyBorder="1" applyAlignment="1">
      <alignment horizontal="center" vertical="center"/>
    </xf>
    <xf numFmtId="0" fontId="24" fillId="7" borderId="34" xfId="0" applyFont="1" applyFill="1" applyBorder="1" applyAlignment="1">
      <alignment horizontal="center" vertical="center"/>
    </xf>
    <xf numFmtId="164" fontId="24" fillId="7" borderId="55" xfId="0" applyNumberFormat="1" applyFont="1" applyFill="1" applyBorder="1" applyAlignment="1">
      <alignment horizontal="center" vertical="center" wrapText="1"/>
    </xf>
    <xf numFmtId="44" fontId="13" fillId="0" borderId="4" xfId="0" applyNumberFormat="1" applyFont="1" applyBorder="1"/>
    <xf numFmtId="44" fontId="13" fillId="0" borderId="5" xfId="0" applyNumberFormat="1" applyFont="1" applyBorder="1"/>
    <xf numFmtId="44" fontId="13" fillId="0" borderId="1" xfId="0" applyNumberFormat="1" applyFont="1" applyBorder="1" applyAlignment="1">
      <alignment horizontal="center" vertical="center"/>
    </xf>
    <xf numFmtId="44" fontId="13" fillId="0" borderId="2" xfId="0" applyNumberFormat="1" applyFont="1" applyBorder="1" applyAlignment="1">
      <alignment horizontal="center" vertical="center"/>
    </xf>
    <xf numFmtId="44" fontId="13" fillId="0" borderId="3" xfId="0" applyNumberFormat="1" applyFont="1" applyBorder="1" applyAlignment="1">
      <alignment horizontal="center" vertical="center"/>
    </xf>
    <xf numFmtId="44" fontId="13" fillId="0" borderId="4" xfId="0" applyNumberFormat="1" applyFont="1" applyBorder="1" applyAlignment="1">
      <alignment horizontal="center" vertical="center"/>
    </xf>
    <xf numFmtId="44" fontId="13" fillId="0" borderId="5" xfId="0" applyNumberFormat="1" applyFont="1" applyBorder="1" applyAlignment="1">
      <alignment horizontal="center" vertical="center"/>
    </xf>
    <xf numFmtId="44" fontId="13" fillId="0" borderId="6" xfId="0" applyNumberFormat="1" applyFont="1" applyBorder="1" applyAlignment="1">
      <alignment horizontal="center" vertical="center"/>
    </xf>
    <xf numFmtId="44" fontId="13" fillId="0" borderId="7" xfId="0" applyNumberFormat="1" applyFont="1" applyBorder="1" applyAlignment="1">
      <alignment horizontal="center" vertical="center"/>
    </xf>
    <xf numFmtId="44" fontId="13" fillId="0" borderId="8" xfId="0" applyNumberFormat="1" applyFont="1" applyBorder="1" applyAlignment="1">
      <alignment horizontal="center" vertical="center"/>
    </xf>
    <xf numFmtId="44" fontId="13" fillId="0" borderId="9" xfId="0" applyNumberFormat="1" applyFont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44" fontId="13" fillId="0" borderId="0" xfId="0" applyNumberFormat="1" applyFont="1" applyAlignment="1">
      <alignment horizontal="center"/>
    </xf>
    <xf numFmtId="0" fontId="14" fillId="2" borderId="56" xfId="0" applyFont="1" applyFill="1" applyBorder="1" applyAlignment="1">
      <alignment horizontal="left"/>
    </xf>
    <xf numFmtId="0" fontId="14" fillId="2" borderId="58" xfId="0" applyFont="1" applyFill="1" applyBorder="1" applyAlignment="1">
      <alignment horizontal="left"/>
    </xf>
    <xf numFmtId="0" fontId="14" fillId="2" borderId="10" xfId="0" applyFont="1" applyFill="1" applyBorder="1" applyAlignment="1">
      <alignment horizontal="right"/>
    </xf>
    <xf numFmtId="0" fontId="14" fillId="2" borderId="56" xfId="0" applyFont="1" applyFill="1" applyBorder="1" applyAlignment="1">
      <alignment horizontal="center"/>
    </xf>
    <xf numFmtId="0" fontId="14" fillId="2" borderId="57" xfId="0" applyFont="1" applyFill="1" applyBorder="1" applyAlignment="1">
      <alignment horizontal="center"/>
    </xf>
    <xf numFmtId="0" fontId="14" fillId="2" borderId="58" xfId="0" applyFont="1" applyFill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70" xfId="0" applyFont="1" applyBorder="1" applyAlignment="1">
      <alignment horizontal="center"/>
    </xf>
    <xf numFmtId="0" fontId="15" fillId="0" borderId="71" xfId="0" applyFont="1" applyBorder="1" applyAlignment="1">
      <alignment horizontal="center"/>
    </xf>
    <xf numFmtId="0" fontId="15" fillId="0" borderId="72" xfId="0" applyFont="1" applyBorder="1" applyAlignment="1">
      <alignment horizontal="center"/>
    </xf>
    <xf numFmtId="4" fontId="15" fillId="0" borderId="70" xfId="0" applyNumberFormat="1" applyFont="1" applyBorder="1" applyAlignment="1">
      <alignment horizontal="center"/>
    </xf>
    <xf numFmtId="4" fontId="15" fillId="0" borderId="71" xfId="0" applyNumberFormat="1" applyFont="1" applyBorder="1" applyAlignment="1">
      <alignment horizontal="center"/>
    </xf>
    <xf numFmtId="4" fontId="15" fillId="0" borderId="72" xfId="0" applyNumberFormat="1" applyFont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11" borderId="60" xfId="0" applyFill="1" applyBorder="1" applyAlignment="1">
      <alignment horizontal="center"/>
    </xf>
    <xf numFmtId="0" fontId="0" fillId="11" borderId="59" xfId="0" applyFill="1" applyBorder="1" applyAlignment="1">
      <alignment horizontal="center"/>
    </xf>
    <xf numFmtId="0" fontId="0" fillId="11" borderId="61" xfId="0" applyFill="1" applyBorder="1" applyAlignment="1">
      <alignment horizontal="center"/>
    </xf>
    <xf numFmtId="0" fontId="5" fillId="12" borderId="56" xfId="0" applyFont="1" applyFill="1" applyBorder="1" applyAlignment="1">
      <alignment horizontal="center"/>
    </xf>
    <xf numFmtId="0" fontId="5" fillId="12" borderId="57" xfId="0" applyFont="1" applyFill="1" applyBorder="1" applyAlignment="1">
      <alignment horizontal="center"/>
    </xf>
    <xf numFmtId="0" fontId="5" fillId="12" borderId="5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6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6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1" borderId="56" xfId="0" applyFill="1" applyBorder="1" applyAlignment="1">
      <alignment horizontal="right"/>
    </xf>
    <xf numFmtId="0" fontId="0" fillId="21" borderId="57" xfId="0" applyFill="1" applyBorder="1" applyAlignment="1">
      <alignment horizontal="right"/>
    </xf>
    <xf numFmtId="0" fontId="0" fillId="4" borderId="56" xfId="0" applyFill="1" applyBorder="1" applyAlignment="1">
      <alignment horizontal="right"/>
    </xf>
    <xf numFmtId="0" fontId="0" fillId="4" borderId="57" xfId="0" applyFill="1" applyBorder="1" applyAlignment="1">
      <alignment horizontal="right"/>
    </xf>
    <xf numFmtId="0" fontId="0" fillId="4" borderId="58" xfId="0" applyFill="1" applyBorder="1" applyAlignment="1">
      <alignment horizontal="right"/>
    </xf>
    <xf numFmtId="0" fontId="0" fillId="9" borderId="56" xfId="0" applyFill="1" applyBorder="1" applyAlignment="1">
      <alignment horizontal="right"/>
    </xf>
    <xf numFmtId="0" fontId="0" fillId="9" borderId="57" xfId="0" applyFill="1" applyBorder="1" applyAlignment="1">
      <alignment horizontal="right"/>
    </xf>
    <xf numFmtId="0" fontId="0" fillId="9" borderId="58" xfId="0" applyFill="1" applyBorder="1" applyAlignment="1">
      <alignment horizontal="right"/>
    </xf>
    <xf numFmtId="0" fontId="0" fillId="2" borderId="56" xfId="0" applyFill="1" applyBorder="1" applyAlignment="1">
      <alignment horizontal="right"/>
    </xf>
    <xf numFmtId="0" fontId="0" fillId="2" borderId="57" xfId="0" applyFill="1" applyBorder="1" applyAlignment="1">
      <alignment horizontal="right"/>
    </xf>
    <xf numFmtId="0" fontId="0" fillId="2" borderId="58" xfId="0" applyFill="1" applyBorder="1" applyAlignment="1">
      <alignment horizontal="right"/>
    </xf>
    <xf numFmtId="0" fontId="0" fillId="9" borderId="20" xfId="0" applyFill="1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2" borderId="47" xfId="0" applyFill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17" xfId="0" applyBorder="1" applyAlignment="1">
      <alignment horizontal="right"/>
    </xf>
    <xf numFmtId="0" fontId="15" fillId="0" borderId="0" xfId="0" applyFont="1" applyAlignment="1">
      <alignment horizontal="center"/>
    </xf>
    <xf numFmtId="0" fontId="19" fillId="5" borderId="1" xfId="2" applyFont="1" applyFill="1" applyBorder="1" applyAlignment="1">
      <alignment horizontal="center"/>
    </xf>
    <xf numFmtId="0" fontId="19" fillId="5" borderId="2" xfId="2" applyFont="1" applyFill="1" applyBorder="1" applyAlignment="1">
      <alignment horizontal="center"/>
    </xf>
    <xf numFmtId="0" fontId="19" fillId="5" borderId="3" xfId="2" applyFont="1" applyFill="1" applyBorder="1" applyAlignment="1">
      <alignment horizontal="center"/>
    </xf>
    <xf numFmtId="0" fontId="19" fillId="6" borderId="23" xfId="2" applyFont="1" applyFill="1" applyBorder="1" applyAlignment="1">
      <alignment horizontal="center" vertical="center"/>
    </xf>
    <xf numFmtId="0" fontId="19" fillId="5" borderId="14" xfId="2" applyFont="1" applyFill="1" applyBorder="1" applyAlignment="1">
      <alignment horizontal="center" vertical="center"/>
    </xf>
    <xf numFmtId="0" fontId="0" fillId="9" borderId="67" xfId="0" applyFill="1" applyBorder="1" applyAlignment="1">
      <alignment horizontal="right"/>
    </xf>
    <xf numFmtId="0" fontId="0" fillId="9" borderId="68" xfId="0" applyFill="1" applyBorder="1" applyAlignment="1">
      <alignment horizontal="right"/>
    </xf>
    <xf numFmtId="0" fontId="0" fillId="9" borderId="69" xfId="0" applyFill="1" applyBorder="1" applyAlignment="1">
      <alignment horizontal="right"/>
    </xf>
    <xf numFmtId="2" fontId="15" fillId="0" borderId="77" xfId="0" applyNumberFormat="1" applyFont="1" applyBorder="1" applyAlignment="1">
      <alignment horizontal="center" vertical="center"/>
    </xf>
    <xf numFmtId="2" fontId="15" fillId="0" borderId="78" xfId="0" applyNumberFormat="1" applyFont="1" applyBorder="1" applyAlignment="1">
      <alignment horizontal="center" vertical="center"/>
    </xf>
    <xf numFmtId="2" fontId="15" fillId="0" borderId="7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6">
    <cellStyle name="Moeda" xfId="1" builtinId="4"/>
    <cellStyle name="Moeda 2 2" xfId="4" xr:uid="{1C1A2677-6CE9-438B-A59B-0393DF18327C}"/>
    <cellStyle name="Normal" xfId="0" builtinId="0"/>
    <cellStyle name="Normal 3 2" xfId="2" xr:uid="{B42EE3CA-FDEC-4150-8E83-0F6FBCDF6EE7}"/>
    <cellStyle name="Porcentagem" xfId="5" builtinId="5"/>
    <cellStyle name="Vírgula 3 2" xfId="3" xr:uid="{2CB79E17-4856-48F5-AE54-413308DF56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80A4-89BA-44DA-B790-E82794DE7A09}">
  <dimension ref="B1:W30"/>
  <sheetViews>
    <sheetView topLeftCell="D3" zoomScale="115" zoomScaleNormal="115" workbookViewId="0">
      <selection activeCell="L17" sqref="L17"/>
    </sheetView>
  </sheetViews>
  <sheetFormatPr defaultRowHeight="15" x14ac:dyDescent="0.25"/>
  <cols>
    <col min="1" max="1" width="0.85546875" customWidth="1"/>
    <col min="2" max="2" width="22.28515625" bestFit="1" customWidth="1"/>
    <col min="3" max="3" width="17" bestFit="1" customWidth="1"/>
    <col min="4" max="8" width="15.85546875" customWidth="1"/>
    <col min="9" max="10" width="13.28515625" bestFit="1" customWidth="1"/>
    <col min="11" max="11" width="14" bestFit="1" customWidth="1"/>
    <col min="12" max="13" width="13.28515625" bestFit="1" customWidth="1"/>
    <col min="14" max="14" width="10.5703125" customWidth="1"/>
    <col min="16" max="17" width="7.5703125" bestFit="1" customWidth="1"/>
    <col min="18" max="18" width="8.28515625" bestFit="1" customWidth="1"/>
    <col min="19" max="19" width="12.42578125" bestFit="1" customWidth="1"/>
    <col min="20" max="20" width="9.85546875" bestFit="1" customWidth="1"/>
    <col min="21" max="22" width="7.5703125" bestFit="1" customWidth="1"/>
    <col min="23" max="23" width="8.28515625" bestFit="1" customWidth="1"/>
  </cols>
  <sheetData>
    <row r="1" spans="2:23" ht="15.75" thickBot="1" x14ac:dyDescent="0.3">
      <c r="B1" s="79" t="s">
        <v>281</v>
      </c>
      <c r="C1" s="80">
        <v>1.2999999999999999E-2</v>
      </c>
      <c r="D1" s="460" t="s">
        <v>282</v>
      </c>
      <c r="E1" s="461"/>
      <c r="F1" s="461"/>
      <c r="G1" s="462"/>
      <c r="H1" s="463"/>
      <c r="I1" s="470" t="s">
        <v>280</v>
      </c>
      <c r="J1" s="471"/>
      <c r="K1" s="471"/>
      <c r="L1" s="472"/>
      <c r="M1" s="473"/>
      <c r="P1" s="53" t="s">
        <v>278</v>
      </c>
      <c r="Q1" s="53"/>
      <c r="R1" s="54">
        <v>8.5000000000000006E-2</v>
      </c>
      <c r="S1" s="89" t="s">
        <v>284</v>
      </c>
      <c r="T1" s="90">
        <v>0.16950000000000001</v>
      </c>
    </row>
    <row r="2" spans="2:23" ht="15.75" thickBot="1" x14ac:dyDescent="0.3">
      <c r="B2" s="81"/>
      <c r="C2" s="82"/>
      <c r="D2" s="460" t="s">
        <v>19</v>
      </c>
      <c r="E2" s="461"/>
      <c r="F2" s="461"/>
      <c r="G2" s="462"/>
      <c r="H2" s="463"/>
      <c r="I2" s="460" t="s">
        <v>19</v>
      </c>
      <c r="J2" s="461"/>
      <c r="K2" s="461"/>
      <c r="L2" s="462"/>
      <c r="M2" s="463"/>
      <c r="N2" s="464" t="s">
        <v>277</v>
      </c>
      <c r="O2" s="465"/>
      <c r="P2" s="465"/>
      <c r="Q2" s="465"/>
      <c r="R2" s="466"/>
      <c r="S2" s="467" t="s">
        <v>279</v>
      </c>
      <c r="T2" s="468"/>
      <c r="U2" s="468"/>
      <c r="V2" s="468"/>
      <c r="W2" s="469"/>
    </row>
    <row r="3" spans="2:23" ht="15.75" thickBot="1" x14ac:dyDescent="0.3">
      <c r="B3" s="76" t="s">
        <v>17</v>
      </c>
      <c r="C3" s="83" t="s">
        <v>21</v>
      </c>
      <c r="D3" s="74" t="s">
        <v>283</v>
      </c>
      <c r="E3" s="65" t="s">
        <v>3</v>
      </c>
      <c r="F3" s="65" t="s">
        <v>4</v>
      </c>
      <c r="G3" s="94" t="s">
        <v>296</v>
      </c>
      <c r="H3" s="66" t="s">
        <v>5</v>
      </c>
      <c r="I3" s="73" t="s">
        <v>283</v>
      </c>
      <c r="J3" s="65" t="s">
        <v>3</v>
      </c>
      <c r="K3" s="65" t="s">
        <v>4</v>
      </c>
      <c r="L3" s="94" t="s">
        <v>296</v>
      </c>
      <c r="M3" s="66" t="s">
        <v>5</v>
      </c>
      <c r="N3" s="75" t="s">
        <v>283</v>
      </c>
      <c r="O3" s="55" t="s">
        <v>3</v>
      </c>
      <c r="P3" s="55" t="s">
        <v>4</v>
      </c>
      <c r="Q3" s="122" t="s">
        <v>296</v>
      </c>
      <c r="R3" s="56" t="s">
        <v>5</v>
      </c>
      <c r="S3" s="75" t="s">
        <v>283</v>
      </c>
      <c r="T3" s="57" t="s">
        <v>3</v>
      </c>
      <c r="U3" s="57" t="s">
        <v>4</v>
      </c>
      <c r="V3" s="57" t="s">
        <v>296</v>
      </c>
      <c r="W3" s="58" t="s">
        <v>5</v>
      </c>
    </row>
    <row r="4" spans="2:23" x14ac:dyDescent="0.25">
      <c r="B4" s="77" t="s">
        <v>10</v>
      </c>
      <c r="C4" s="84" t="s">
        <v>16</v>
      </c>
      <c r="D4" s="373">
        <v>76.5</v>
      </c>
      <c r="E4" s="63">
        <v>78.39</v>
      </c>
      <c r="F4" s="63">
        <v>79.709999999999994</v>
      </c>
      <c r="G4" s="95">
        <v>81.77</v>
      </c>
      <c r="H4" s="64">
        <v>87.82</v>
      </c>
      <c r="I4" s="372">
        <v>69.56</v>
      </c>
      <c r="J4" s="63">
        <v>71.28</v>
      </c>
      <c r="K4" s="63">
        <v>72.48</v>
      </c>
      <c r="L4" s="95">
        <v>74.349999999999994</v>
      </c>
      <c r="M4" s="64">
        <v>79.849999999999994</v>
      </c>
      <c r="N4" s="371">
        <v>0.11</v>
      </c>
      <c r="O4" s="67">
        <v>0.125</v>
      </c>
      <c r="P4" s="67">
        <v>0.13500000000000001</v>
      </c>
      <c r="Q4" s="123">
        <v>0.15</v>
      </c>
      <c r="R4" s="68">
        <v>0.19</v>
      </c>
      <c r="S4" s="371">
        <v>0.09</v>
      </c>
      <c r="T4" s="69">
        <v>0.1</v>
      </c>
      <c r="U4" s="69">
        <v>0.1</v>
      </c>
      <c r="V4" s="69">
        <v>0.11</v>
      </c>
      <c r="W4" s="71">
        <v>0.14000000000000001</v>
      </c>
    </row>
    <row r="5" spans="2:23" x14ac:dyDescent="0.25">
      <c r="B5" s="77" t="s">
        <v>13</v>
      </c>
      <c r="C5" s="84" t="s">
        <v>16</v>
      </c>
      <c r="D5" s="372">
        <v>60.77</v>
      </c>
      <c r="E5" s="59">
        <v>62.28</v>
      </c>
      <c r="F5" s="59">
        <v>63.32</v>
      </c>
      <c r="G5" s="95">
        <v>64.959999999999994</v>
      </c>
      <c r="H5" s="60">
        <v>69.760000000000005</v>
      </c>
      <c r="I5" s="372">
        <v>53.83</v>
      </c>
      <c r="J5" s="59">
        <v>55.16</v>
      </c>
      <c r="K5" s="59">
        <v>56.09</v>
      </c>
      <c r="L5" s="95">
        <v>57.54</v>
      </c>
      <c r="M5" s="60">
        <v>61.8</v>
      </c>
      <c r="N5" s="371">
        <v>0.11</v>
      </c>
      <c r="O5" s="67">
        <v>0.125</v>
      </c>
      <c r="P5" s="67">
        <v>0.13500000000000001</v>
      </c>
      <c r="Q5" s="123">
        <v>0.15</v>
      </c>
      <c r="R5" s="68">
        <v>0.19</v>
      </c>
      <c r="S5" s="371">
        <v>0.09</v>
      </c>
      <c r="T5" s="70">
        <v>0.1</v>
      </c>
      <c r="U5" s="69">
        <v>0.1</v>
      </c>
      <c r="V5" s="69">
        <v>0.11</v>
      </c>
      <c r="W5" s="71">
        <v>0.14000000000000001</v>
      </c>
    </row>
    <row r="6" spans="2:23" x14ac:dyDescent="0.25">
      <c r="B6" s="77" t="s">
        <v>11</v>
      </c>
      <c r="C6" s="84" t="s">
        <v>16</v>
      </c>
      <c r="D6" s="372">
        <v>84.64</v>
      </c>
      <c r="E6" s="59">
        <v>86.74</v>
      </c>
      <c r="F6" s="59">
        <v>88.2</v>
      </c>
      <c r="G6" s="95">
        <v>90.48</v>
      </c>
      <c r="H6" s="60">
        <v>97.17</v>
      </c>
      <c r="I6" s="372">
        <v>77.7</v>
      </c>
      <c r="J6" s="59">
        <v>79.63</v>
      </c>
      <c r="K6" s="59">
        <v>80.959999999999994</v>
      </c>
      <c r="L6" s="95">
        <v>83.06</v>
      </c>
      <c r="M6" s="60">
        <v>89.2</v>
      </c>
      <c r="N6" s="371">
        <v>0.11</v>
      </c>
      <c r="O6" s="67">
        <v>0.125</v>
      </c>
      <c r="P6" s="67">
        <v>0.13500000000000001</v>
      </c>
      <c r="Q6" s="123">
        <v>0.15</v>
      </c>
      <c r="R6" s="68">
        <v>0.19</v>
      </c>
      <c r="S6" s="371">
        <v>0.09</v>
      </c>
      <c r="T6" s="70">
        <v>0.1</v>
      </c>
      <c r="U6" s="69">
        <v>0.1</v>
      </c>
      <c r="V6" s="69">
        <v>0.11</v>
      </c>
      <c r="W6" s="71">
        <v>0.14000000000000001</v>
      </c>
    </row>
    <row r="7" spans="2:23" x14ac:dyDescent="0.25">
      <c r="B7" s="77" t="s">
        <v>24</v>
      </c>
      <c r="C7" s="84" t="s">
        <v>16</v>
      </c>
      <c r="D7" s="372">
        <v>111.36</v>
      </c>
      <c r="E7" s="59">
        <v>114.12</v>
      </c>
      <c r="F7" s="59">
        <v>116.04</v>
      </c>
      <c r="G7" s="95">
        <v>119.04</v>
      </c>
      <c r="H7" s="60">
        <v>127.85</v>
      </c>
      <c r="I7" s="372">
        <v>104.42</v>
      </c>
      <c r="J7" s="59">
        <v>107.01</v>
      </c>
      <c r="K7" s="59">
        <v>108.81</v>
      </c>
      <c r="L7" s="95">
        <v>111.62</v>
      </c>
      <c r="M7" s="60">
        <v>119.88</v>
      </c>
      <c r="N7" s="371">
        <v>0.11</v>
      </c>
      <c r="O7" s="67">
        <v>0.125</v>
      </c>
      <c r="P7" s="67">
        <v>0.13500000000000001</v>
      </c>
      <c r="Q7" s="123">
        <v>0.15</v>
      </c>
      <c r="R7" s="68">
        <v>0.19</v>
      </c>
      <c r="S7" s="371">
        <v>0.09</v>
      </c>
      <c r="T7" s="70">
        <v>0.1</v>
      </c>
      <c r="U7" s="69">
        <v>0.1</v>
      </c>
      <c r="V7" s="69">
        <v>0.11</v>
      </c>
      <c r="W7" s="71">
        <v>0.14000000000000001</v>
      </c>
    </row>
    <row r="8" spans="2:23" ht="15.75" thickBot="1" x14ac:dyDescent="0.3">
      <c r="B8" s="78" t="s">
        <v>275</v>
      </c>
      <c r="C8" s="85" t="s">
        <v>16</v>
      </c>
      <c r="D8" s="374">
        <v>94.75</v>
      </c>
      <c r="E8" s="61">
        <v>97.1</v>
      </c>
      <c r="F8" s="61">
        <v>98.73</v>
      </c>
      <c r="G8" s="95">
        <v>101.28</v>
      </c>
      <c r="H8" s="62">
        <v>108.77</v>
      </c>
      <c r="I8" s="372">
        <v>87.81</v>
      </c>
      <c r="J8" s="61">
        <v>89.98</v>
      </c>
      <c r="K8" s="61">
        <v>91.5</v>
      </c>
      <c r="L8" s="95">
        <v>93.86</v>
      </c>
      <c r="M8" s="62">
        <v>100.81</v>
      </c>
      <c r="N8" s="371">
        <v>0.11</v>
      </c>
      <c r="O8" s="67">
        <v>0.125</v>
      </c>
      <c r="P8" s="67">
        <v>0.13500000000000001</v>
      </c>
      <c r="Q8" s="123">
        <v>0.15</v>
      </c>
      <c r="R8" s="68">
        <v>0.19</v>
      </c>
      <c r="S8" s="371">
        <v>0.09</v>
      </c>
      <c r="T8" s="72">
        <v>0.1</v>
      </c>
      <c r="U8" s="69">
        <v>0.1</v>
      </c>
      <c r="V8" s="69">
        <v>0.11</v>
      </c>
      <c r="W8" s="71">
        <v>0.14000000000000001</v>
      </c>
    </row>
    <row r="9" spans="2:23" ht="15.75" thickBot="1" x14ac:dyDescent="0.3">
      <c r="C9" s="46"/>
    </row>
    <row r="10" spans="2:23" ht="15.75" thickBot="1" x14ac:dyDescent="0.3">
      <c r="B10" s="76" t="s">
        <v>17</v>
      </c>
      <c r="C10" s="86" t="s">
        <v>21</v>
      </c>
      <c r="D10" s="74" t="s">
        <v>283</v>
      </c>
      <c r="E10" s="65" t="s">
        <v>3</v>
      </c>
      <c r="F10" s="65" t="s">
        <v>4</v>
      </c>
      <c r="G10" s="94" t="s">
        <v>296</v>
      </c>
      <c r="H10" s="66" t="s">
        <v>5</v>
      </c>
      <c r="I10" s="73" t="s">
        <v>283</v>
      </c>
      <c r="J10" s="65" t="s">
        <v>3</v>
      </c>
      <c r="K10" s="65" t="s">
        <v>4</v>
      </c>
      <c r="L10" s="94" t="s">
        <v>296</v>
      </c>
      <c r="M10" s="66" t="s">
        <v>5</v>
      </c>
      <c r="N10" s="75" t="s">
        <v>283</v>
      </c>
      <c r="O10" s="55" t="s">
        <v>3</v>
      </c>
      <c r="P10" s="55" t="s">
        <v>4</v>
      </c>
      <c r="Q10" s="122" t="s">
        <v>296</v>
      </c>
      <c r="R10" s="56" t="s">
        <v>5</v>
      </c>
      <c r="S10" s="75" t="s">
        <v>283</v>
      </c>
      <c r="T10" s="57" t="s">
        <v>3</v>
      </c>
      <c r="U10" s="57" t="s">
        <v>4</v>
      </c>
      <c r="V10" s="57" t="s">
        <v>296</v>
      </c>
      <c r="W10" s="58" t="s">
        <v>5</v>
      </c>
    </row>
    <row r="11" spans="2:23" x14ac:dyDescent="0.25">
      <c r="B11" s="77" t="s">
        <v>10</v>
      </c>
      <c r="C11" s="87" t="s">
        <v>276</v>
      </c>
      <c r="D11" s="373">
        <v>76.92</v>
      </c>
      <c r="E11" s="63">
        <v>78.83</v>
      </c>
      <c r="F11" s="63">
        <v>80.150000000000006</v>
      </c>
      <c r="G11" s="95">
        <v>82.23</v>
      </c>
      <c r="H11" s="64">
        <v>88.31</v>
      </c>
      <c r="I11" s="372">
        <v>69.98</v>
      </c>
      <c r="J11" s="63">
        <v>71.72</v>
      </c>
      <c r="K11" s="63">
        <v>72.92</v>
      </c>
      <c r="L11" s="95">
        <v>74.81</v>
      </c>
      <c r="M11" s="64">
        <v>80.34</v>
      </c>
      <c r="N11" s="371">
        <v>0.11</v>
      </c>
      <c r="O11" s="67">
        <v>0.125</v>
      </c>
      <c r="P11" s="67">
        <v>0.13500000000000001</v>
      </c>
      <c r="Q11" s="123">
        <v>0.15</v>
      </c>
      <c r="R11" s="68">
        <v>0.19</v>
      </c>
      <c r="S11" s="371">
        <v>0.09</v>
      </c>
      <c r="T11" s="69">
        <v>0.1</v>
      </c>
      <c r="U11" s="69">
        <v>0.1</v>
      </c>
      <c r="V11" s="69">
        <v>0.11</v>
      </c>
      <c r="W11" s="71">
        <v>0.14000000000000001</v>
      </c>
    </row>
    <row r="12" spans="2:23" x14ac:dyDescent="0.25">
      <c r="B12" s="77" t="s">
        <v>13</v>
      </c>
      <c r="C12" s="87" t="s">
        <v>276</v>
      </c>
      <c r="D12" s="372">
        <v>61.2</v>
      </c>
      <c r="E12" s="63">
        <v>62.71</v>
      </c>
      <c r="F12" s="59">
        <v>63.77</v>
      </c>
      <c r="G12" s="95">
        <v>65.41</v>
      </c>
      <c r="H12" s="64">
        <v>70.25</v>
      </c>
      <c r="I12" s="372">
        <v>54.26</v>
      </c>
      <c r="J12" s="59">
        <v>55.6</v>
      </c>
      <c r="K12" s="59">
        <v>56.53</v>
      </c>
      <c r="L12" s="95">
        <v>57.99</v>
      </c>
      <c r="M12" s="60">
        <v>62.29</v>
      </c>
      <c r="N12" s="371">
        <v>0.11</v>
      </c>
      <c r="O12" s="67">
        <v>0.125</v>
      </c>
      <c r="P12" s="67">
        <v>0.13500000000000001</v>
      </c>
      <c r="Q12" s="123">
        <v>0.15</v>
      </c>
      <c r="R12" s="68">
        <v>0.19</v>
      </c>
      <c r="S12" s="371">
        <v>0.09</v>
      </c>
      <c r="T12" s="70">
        <v>0.1</v>
      </c>
      <c r="U12" s="69">
        <v>0.1</v>
      </c>
      <c r="V12" s="69">
        <v>0.11</v>
      </c>
      <c r="W12" s="71">
        <v>0.14000000000000001</v>
      </c>
    </row>
    <row r="13" spans="2:23" x14ac:dyDescent="0.25">
      <c r="B13" s="77" t="s">
        <v>11</v>
      </c>
      <c r="C13" s="87" t="s">
        <v>276</v>
      </c>
      <c r="D13" s="372">
        <v>85.07</v>
      </c>
      <c r="E13" s="63">
        <v>87.18</v>
      </c>
      <c r="F13" s="59">
        <v>88.64</v>
      </c>
      <c r="G13" s="95">
        <v>90.93</v>
      </c>
      <c r="H13" s="64">
        <v>97.66</v>
      </c>
      <c r="I13" s="372">
        <v>78.13</v>
      </c>
      <c r="J13" s="59">
        <v>80.06</v>
      </c>
      <c r="K13" s="59">
        <v>81.41</v>
      </c>
      <c r="L13" s="95">
        <v>83.51</v>
      </c>
      <c r="M13" s="60">
        <v>89.69</v>
      </c>
      <c r="N13" s="371">
        <v>0.11</v>
      </c>
      <c r="O13" s="67">
        <v>0.125</v>
      </c>
      <c r="P13" s="67">
        <v>0.13500000000000001</v>
      </c>
      <c r="Q13" s="123">
        <v>0.15</v>
      </c>
      <c r="R13" s="68">
        <v>0.19</v>
      </c>
      <c r="S13" s="371">
        <v>0.09</v>
      </c>
      <c r="T13" s="70">
        <v>0.1</v>
      </c>
      <c r="U13" s="69">
        <v>0.1</v>
      </c>
      <c r="V13" s="69">
        <v>0.11</v>
      </c>
      <c r="W13" s="71">
        <v>0.14000000000000001</v>
      </c>
    </row>
    <row r="14" spans="2:23" x14ac:dyDescent="0.25">
      <c r="B14" s="77" t="s">
        <v>24</v>
      </c>
      <c r="C14" s="87" t="s">
        <v>276</v>
      </c>
      <c r="D14" s="372">
        <v>111.79</v>
      </c>
      <c r="E14" s="63">
        <v>114.56</v>
      </c>
      <c r="F14" s="59">
        <v>116.48</v>
      </c>
      <c r="G14" s="95">
        <v>119.49</v>
      </c>
      <c r="H14" s="64">
        <v>128.33000000000001</v>
      </c>
      <c r="I14" s="372">
        <v>104.85</v>
      </c>
      <c r="J14" s="59">
        <v>107.45</v>
      </c>
      <c r="K14" s="59">
        <v>109.25</v>
      </c>
      <c r="L14" s="95">
        <v>112.07</v>
      </c>
      <c r="M14" s="60">
        <v>120.37</v>
      </c>
      <c r="N14" s="371">
        <v>0.11</v>
      </c>
      <c r="O14" s="67">
        <v>0.125</v>
      </c>
      <c r="P14" s="67">
        <v>0.13500000000000001</v>
      </c>
      <c r="Q14" s="123">
        <v>0.15</v>
      </c>
      <c r="R14" s="68">
        <v>0.19</v>
      </c>
      <c r="S14" s="371">
        <v>0.09</v>
      </c>
      <c r="T14" s="70">
        <v>0.1</v>
      </c>
      <c r="U14" s="69">
        <v>0.1</v>
      </c>
      <c r="V14" s="69">
        <v>0.11</v>
      </c>
      <c r="W14" s="71">
        <v>0.14000000000000001</v>
      </c>
    </row>
    <row r="15" spans="2:23" ht="15.75" thickBot="1" x14ac:dyDescent="0.3">
      <c r="B15" s="78" t="s">
        <v>275</v>
      </c>
      <c r="C15" s="88" t="s">
        <v>276</v>
      </c>
      <c r="D15" s="374">
        <v>95.18</v>
      </c>
      <c r="E15" s="63">
        <v>97.53</v>
      </c>
      <c r="F15" s="61">
        <v>99.17</v>
      </c>
      <c r="G15" s="95">
        <v>101.73</v>
      </c>
      <c r="H15" s="64">
        <v>109.26</v>
      </c>
      <c r="I15" s="372">
        <v>88.24</v>
      </c>
      <c r="J15" s="61">
        <v>90.42</v>
      </c>
      <c r="K15" s="61">
        <v>91.94</v>
      </c>
      <c r="L15" s="95">
        <v>94.32</v>
      </c>
      <c r="M15" s="62">
        <v>101.3</v>
      </c>
      <c r="N15" s="371">
        <v>0.11</v>
      </c>
      <c r="O15" s="67">
        <v>0.125</v>
      </c>
      <c r="P15" s="67">
        <v>0.13500000000000001</v>
      </c>
      <c r="Q15" s="123">
        <v>0.15</v>
      </c>
      <c r="R15" s="68">
        <v>0.19</v>
      </c>
      <c r="S15" s="371">
        <v>0.09</v>
      </c>
      <c r="T15" s="72">
        <v>0.1</v>
      </c>
      <c r="U15" s="69">
        <v>0.1</v>
      </c>
      <c r="V15" s="69">
        <v>0.11</v>
      </c>
      <c r="W15" s="71">
        <v>0.14000000000000001</v>
      </c>
    </row>
    <row r="16" spans="2:23" x14ac:dyDescent="0.25">
      <c r="H16" s="29"/>
      <c r="I16" s="29"/>
      <c r="J16" s="29"/>
      <c r="K16" s="29"/>
      <c r="L16" s="29"/>
      <c r="M16" s="29"/>
      <c r="N16" s="29"/>
      <c r="O16" s="29"/>
    </row>
    <row r="17" spans="4:13" x14ac:dyDescent="0.25">
      <c r="D17" s="29"/>
      <c r="E17" s="29"/>
      <c r="F17" s="29"/>
      <c r="G17" s="411"/>
      <c r="H17" s="29"/>
      <c r="I17" s="29"/>
      <c r="J17" s="29"/>
      <c r="K17" s="29"/>
      <c r="L17" s="29"/>
      <c r="M17" s="29"/>
    </row>
    <row r="18" spans="4:13" x14ac:dyDescent="0.25"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4:13" x14ac:dyDescent="0.25"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4:13" x14ac:dyDescent="0.25"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pans="4:13" x14ac:dyDescent="0.25"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4:13" x14ac:dyDescent="0.25">
      <c r="D22" s="29"/>
      <c r="E22" s="29"/>
      <c r="F22" s="29"/>
      <c r="G22" s="29"/>
      <c r="H22" s="29"/>
      <c r="I22" s="29"/>
      <c r="J22" s="29"/>
      <c r="K22" s="29"/>
      <c r="L22" s="29"/>
      <c r="M22" s="29"/>
    </row>
    <row r="23" spans="4:13" x14ac:dyDescent="0.25"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4:13" x14ac:dyDescent="0.25"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4:13" x14ac:dyDescent="0.25"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4:13" x14ac:dyDescent="0.25"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4:13" x14ac:dyDescent="0.25"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4:13" x14ac:dyDescent="0.25"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4:13" x14ac:dyDescent="0.25">
      <c r="D29" s="29"/>
      <c r="E29" s="29"/>
      <c r="F29" s="29"/>
      <c r="G29" s="29"/>
      <c r="H29" s="29"/>
    </row>
    <row r="30" spans="4:13" x14ac:dyDescent="0.25">
      <c r="D30" s="29"/>
      <c r="E30" s="29"/>
      <c r="F30" s="29"/>
      <c r="G30" s="29"/>
      <c r="H30" s="29"/>
    </row>
  </sheetData>
  <mergeCells count="6">
    <mergeCell ref="I2:M2"/>
    <mergeCell ref="N2:R2"/>
    <mergeCell ref="S2:W2"/>
    <mergeCell ref="D2:H2"/>
    <mergeCell ref="D1:H1"/>
    <mergeCell ref="I1:M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9801D-E4F5-40AE-864C-65E7DBDB682A}">
  <dimension ref="A1:W114"/>
  <sheetViews>
    <sheetView topLeftCell="G1" workbookViewId="0">
      <selection activeCell="O16" sqref="O16:O85"/>
    </sheetView>
  </sheetViews>
  <sheetFormatPr defaultColWidth="9.140625" defaultRowHeight="15" x14ac:dyDescent="0.25"/>
  <cols>
    <col min="1" max="1" width="22.28515625" style="2" bestFit="1" customWidth="1"/>
    <col min="2" max="4" width="9.140625" style="2"/>
    <col min="5" max="5" width="9.5703125" style="2" bestFit="1" customWidth="1"/>
    <col min="6" max="6" width="48.7109375" style="2" bestFit="1" customWidth="1"/>
    <col min="7" max="7" width="22.85546875" style="2" bestFit="1" customWidth="1"/>
    <col min="8" max="8" width="16.7109375" style="2" bestFit="1" customWidth="1"/>
    <col min="9" max="9" width="16.5703125" style="2" bestFit="1" customWidth="1"/>
    <col min="10" max="10" width="11.7109375" style="2" bestFit="1" customWidth="1"/>
    <col min="11" max="11" width="14" style="2" bestFit="1" customWidth="1"/>
    <col min="12" max="12" width="15.140625" style="6" bestFit="1" customWidth="1"/>
    <col min="13" max="13" width="15.140625" style="6" customWidth="1"/>
    <col min="14" max="14" width="14" style="6" bestFit="1" customWidth="1"/>
    <col min="15" max="15" width="13.7109375" style="2" bestFit="1" customWidth="1"/>
    <col min="16" max="16" width="14" style="2" bestFit="1" customWidth="1"/>
    <col min="17" max="17" width="15.28515625" style="2" bestFit="1" customWidth="1"/>
    <col min="18" max="18" width="9.140625" style="2"/>
    <col min="19" max="19" width="11.7109375" style="2" bestFit="1" customWidth="1"/>
    <col min="20" max="20" width="14.42578125" style="2" bestFit="1" customWidth="1"/>
    <col min="21" max="21" width="17.28515625" style="2" bestFit="1" customWidth="1"/>
    <col min="22" max="22" width="15.7109375" style="2" bestFit="1" customWidth="1"/>
    <col min="23" max="16384" width="9.140625" style="2"/>
  </cols>
  <sheetData>
    <row r="1" spans="1:17" ht="15.75" thickBot="1" x14ac:dyDescent="0.3">
      <c r="L1" s="2"/>
      <c r="M1" s="2"/>
      <c r="N1" s="2" t="s">
        <v>3</v>
      </c>
      <c r="Q1" s="2" t="s">
        <v>4</v>
      </c>
    </row>
    <row r="2" spans="1:17" x14ac:dyDescent="0.25">
      <c r="G2" s="3" t="s">
        <v>12</v>
      </c>
      <c r="H2" s="4" t="s">
        <v>20</v>
      </c>
      <c r="I2" s="4" t="s">
        <v>21</v>
      </c>
      <c r="J2" s="5" t="s">
        <v>7</v>
      </c>
      <c r="M2" s="2"/>
      <c r="N2" s="2" t="s">
        <v>4</v>
      </c>
      <c r="P2" s="2" t="s">
        <v>143</v>
      </c>
      <c r="Q2" s="2" t="s">
        <v>323</v>
      </c>
    </row>
    <row r="3" spans="1:17" ht="15.75" thickBot="1" x14ac:dyDescent="0.3">
      <c r="A3" s="11" t="s">
        <v>17</v>
      </c>
      <c r="B3" s="10" t="s">
        <v>21</v>
      </c>
      <c r="F3" s="2" t="str">
        <f>CONCATENATE($G$3,I3)</f>
        <v>LocaçãoMínimo</v>
      </c>
      <c r="G3" s="477" t="s">
        <v>0</v>
      </c>
      <c r="H3" s="7">
        <f>H4*0.95</f>
        <v>0.93266250000000006</v>
      </c>
      <c r="I3" s="8" t="s">
        <v>3</v>
      </c>
      <c r="J3" s="479" t="s">
        <v>1</v>
      </c>
      <c r="L3" s="124"/>
      <c r="M3" s="2"/>
      <c r="N3" s="2" t="s">
        <v>296</v>
      </c>
      <c r="P3" s="2" t="s">
        <v>144</v>
      </c>
      <c r="Q3" s="2" t="s">
        <v>324</v>
      </c>
    </row>
    <row r="4" spans="1:17" x14ac:dyDescent="0.25">
      <c r="A4" s="12" t="s">
        <v>10</v>
      </c>
      <c r="F4" s="2" t="str">
        <f>CONCATENATE($G$3,I4)</f>
        <v>LocaçãoPadrão</v>
      </c>
      <c r="G4" s="478"/>
      <c r="H4" s="7">
        <f>0.85*1.1*1.05</f>
        <v>0.98175000000000012</v>
      </c>
      <c r="I4" s="8" t="s">
        <v>4</v>
      </c>
      <c r="J4" s="480"/>
      <c r="L4" s="124"/>
      <c r="M4" s="2"/>
      <c r="N4" s="2" t="s">
        <v>5</v>
      </c>
      <c r="Q4" s="2" t="s">
        <v>325</v>
      </c>
    </row>
    <row r="5" spans="1:17" ht="15.75" thickBot="1" x14ac:dyDescent="0.3">
      <c r="A5" s="15" t="s">
        <v>13</v>
      </c>
      <c r="F5" s="2" t="str">
        <f>CONCATENATE($G$3,I5)</f>
        <v>LocaçãoP+1</v>
      </c>
      <c r="G5" s="478"/>
      <c r="H5" s="9">
        <f>H4*1.05</f>
        <v>1.0308375000000001</v>
      </c>
      <c r="I5" s="8" t="s">
        <v>296</v>
      </c>
      <c r="J5" s="480"/>
      <c r="L5" s="124"/>
      <c r="M5" s="2"/>
      <c r="N5" s="2"/>
      <c r="Q5" s="2" t="s">
        <v>332</v>
      </c>
    </row>
    <row r="6" spans="1:17" ht="15.75" thickBot="1" x14ac:dyDescent="0.3">
      <c r="A6" s="15" t="s">
        <v>13</v>
      </c>
      <c r="F6" s="2" t="str">
        <f>CONCATENATE($G$3,I6)</f>
        <v>LocaçãoMáximo</v>
      </c>
      <c r="G6" s="478"/>
      <c r="H6" s="9">
        <f>H4*1.15</f>
        <v>1.1290125</v>
      </c>
      <c r="I6" s="10" t="s">
        <v>5</v>
      </c>
      <c r="J6" s="480"/>
      <c r="L6" s="124"/>
      <c r="M6" s="2"/>
      <c r="N6" s="2"/>
      <c r="Q6" s="2" t="s">
        <v>197</v>
      </c>
    </row>
    <row r="7" spans="1:17" ht="15.75" thickBot="1" x14ac:dyDescent="0.3">
      <c r="A7" s="15" t="s">
        <v>24</v>
      </c>
      <c r="L7" s="2"/>
      <c r="M7" s="2"/>
      <c r="N7" s="2"/>
      <c r="O7" s="2" t="s">
        <v>9</v>
      </c>
      <c r="Q7" s="2" t="s">
        <v>347</v>
      </c>
    </row>
    <row r="8" spans="1:17" x14ac:dyDescent="0.25">
      <c r="A8" s="15" t="s">
        <v>11</v>
      </c>
      <c r="G8" s="474" t="s">
        <v>16</v>
      </c>
      <c r="H8" s="475"/>
      <c r="I8" s="475"/>
      <c r="J8" s="475"/>
      <c r="K8" s="476"/>
      <c r="L8" s="2"/>
      <c r="N8" s="2"/>
      <c r="O8" s="2" t="s">
        <v>285</v>
      </c>
    </row>
    <row r="9" spans="1:17" ht="15.75" thickBot="1" x14ac:dyDescent="0.3">
      <c r="A9" s="12" t="s">
        <v>275</v>
      </c>
      <c r="E9" s="21"/>
      <c r="G9" s="11" t="s">
        <v>17</v>
      </c>
      <c r="H9" s="11" t="s">
        <v>287</v>
      </c>
      <c r="I9" s="11" t="s">
        <v>286</v>
      </c>
      <c r="J9" s="11" t="s">
        <v>21</v>
      </c>
      <c r="K9" s="11" t="s">
        <v>7</v>
      </c>
      <c r="L9" s="2" t="s">
        <v>288</v>
      </c>
      <c r="M9" s="2" t="s">
        <v>289</v>
      </c>
      <c r="N9" s="2" t="s">
        <v>290</v>
      </c>
      <c r="O9" s="2" t="s">
        <v>295</v>
      </c>
      <c r="P9" s="2" t="s">
        <v>398</v>
      </c>
    </row>
    <row r="10" spans="1:17" x14ac:dyDescent="0.25">
      <c r="A10" s="91"/>
      <c r="E10" s="97"/>
      <c r="F10" s="2" t="str">
        <f t="shared" ref="F10:F14" si="0">CONCATENATE($G$8,$G10,J10)</f>
        <v>MOBILIZADOMontador de AndaimesLimite</v>
      </c>
      <c r="G10" s="12" t="s">
        <v>10</v>
      </c>
      <c r="H10" s="1">
        <f>IF(L10="sim",VLOOKUP(G10,Valores_Dados!$B$4:$M$8,3,FALSE),0)</f>
        <v>0</v>
      </c>
      <c r="I10" s="1">
        <f>IF(L10="não",VLOOKUP(G10,Valores_Dados!$B$4:$M$8,8,FALSE),0)</f>
        <v>69.56</v>
      </c>
      <c r="J10" s="13" t="s">
        <v>283</v>
      </c>
      <c r="K10" s="14" t="s">
        <v>8</v>
      </c>
      <c r="L10" s="2" t="str">
        <f>IF(Simulador!$B$2="sim","NÃO","SIM")</f>
        <v>NÃO</v>
      </c>
      <c r="M10" s="6">
        <f>IF(J10=Simulador!$B$1,1,0)</f>
        <v>0</v>
      </c>
      <c r="N10" s="2">
        <f>IF(M10=0,0,IF(Simulador!$B$4="mobilizado",1,0))</f>
        <v>0</v>
      </c>
      <c r="O10" s="411">
        <v>0.19348169767724666</v>
      </c>
      <c r="P10" s="21">
        <v>1.1934816976772467</v>
      </c>
    </row>
    <row r="11" spans="1:17" x14ac:dyDescent="0.25">
      <c r="A11" s="91"/>
      <c r="E11" s="97"/>
      <c r="F11" s="2" t="str">
        <f t="shared" si="0"/>
        <v>MOBILIZADOAjudanteLimite</v>
      </c>
      <c r="G11" s="15" t="s">
        <v>13</v>
      </c>
      <c r="H11" s="1">
        <f>IF(L11="sim",VLOOKUP(G11,Valores_Dados!$B$4:$M$8,3,FALSE),0)</f>
        <v>0</v>
      </c>
      <c r="I11" s="1">
        <f>IF(L11="não",VLOOKUP(G11,Valores_Dados!$B$4:$M$8,8,FALSE),0)</f>
        <v>53.83</v>
      </c>
      <c r="J11" s="13" t="s">
        <v>283</v>
      </c>
      <c r="K11" s="16" t="s">
        <v>8</v>
      </c>
      <c r="L11" s="2" t="str">
        <f>IF(Simulador!$B$2="sim","NÃO","SIM")</f>
        <v>NÃO</v>
      </c>
      <c r="M11" s="6">
        <f>IF(J11=Simulador!$B$1,1,0)</f>
        <v>0</v>
      </c>
      <c r="N11" s="2">
        <f>IF(M11=0,0,IF(Simulador!$B$4="mobilizado",1,0))</f>
        <v>0</v>
      </c>
      <c r="O11" s="411">
        <v>0.16618254089588747</v>
      </c>
      <c r="P11" s="21">
        <v>1.1661825408958875</v>
      </c>
    </row>
    <row r="12" spans="1:17" x14ac:dyDescent="0.25">
      <c r="A12" s="91"/>
      <c r="E12" s="97"/>
      <c r="F12" s="2" t="str">
        <f t="shared" si="0"/>
        <v>MOBILIZADOEncarregadoLimite</v>
      </c>
      <c r="G12" s="15" t="s">
        <v>24</v>
      </c>
      <c r="H12" s="1">
        <f>IF(L12="sim",VLOOKUP(G12,Valores_Dados!$B$4:$M$8,3,FALSE),0)</f>
        <v>0</v>
      </c>
      <c r="I12" s="1">
        <f>IF(L12="não",VLOOKUP(G12,Valores_Dados!$B$4:$M$8,8,FALSE),0)</f>
        <v>104.42</v>
      </c>
      <c r="J12" s="13" t="s">
        <v>283</v>
      </c>
      <c r="K12" s="16" t="s">
        <v>8</v>
      </c>
      <c r="L12" s="2" t="str">
        <f>IF(Simulador!$B$2="sim","NÃO","SIM")</f>
        <v>NÃO</v>
      </c>
      <c r="M12" s="6">
        <f>IF(J12=Simulador!$B$1,1,0)</f>
        <v>0</v>
      </c>
      <c r="N12" s="2">
        <f>IF(M12=0,0,IF(Simulador!$B$4="mobilizado",1,0))</f>
        <v>0</v>
      </c>
      <c r="O12" s="411">
        <v>0.20345320576267456</v>
      </c>
      <c r="P12" s="21">
        <v>1.2034532057626746</v>
      </c>
    </row>
    <row r="13" spans="1:17" x14ac:dyDescent="0.25">
      <c r="A13" s="91"/>
      <c r="E13" s="97"/>
      <c r="F13" s="2" t="str">
        <f t="shared" si="0"/>
        <v>MOBILIZADOLíder de EquipeLimite</v>
      </c>
      <c r="G13" s="15" t="s">
        <v>11</v>
      </c>
      <c r="H13" s="1">
        <f>IF(L13="sim",VLOOKUP(G13,Valores_Dados!$B$4:$M$8,3,FALSE),0)</f>
        <v>0</v>
      </c>
      <c r="I13" s="1">
        <f>IF(L13="não",VLOOKUP(G13,Valores_Dados!$B$4:$M$8,8,FALSE),0)</f>
        <v>77.7</v>
      </c>
      <c r="J13" s="13" t="s">
        <v>283</v>
      </c>
      <c r="K13" s="16" t="s">
        <v>8</v>
      </c>
      <c r="L13" s="2" t="str">
        <f>IF(Simulador!$B$2="sim","NÃO","SIM")</f>
        <v>NÃO</v>
      </c>
      <c r="M13" s="6">
        <f>IF(J13=Simulador!$B$1,1,0)</f>
        <v>0</v>
      </c>
      <c r="N13" s="2">
        <f>IF(M13=0,0,IF(Simulador!$B$4="mobilizado",1,0))</f>
        <v>0</v>
      </c>
      <c r="O13" s="411">
        <v>0.22654615448991544</v>
      </c>
      <c r="P13" s="21">
        <v>1.2265461544899154</v>
      </c>
    </row>
    <row r="14" spans="1:17" x14ac:dyDescent="0.25">
      <c r="A14" s="91"/>
      <c r="E14" s="97"/>
      <c r="F14" s="2" t="str">
        <f t="shared" si="0"/>
        <v>MOBILIZADOTSTLimite</v>
      </c>
      <c r="G14" s="15" t="s">
        <v>275</v>
      </c>
      <c r="H14" s="1">
        <f>IF(L14="sim",VLOOKUP(G14,Valores_Dados!$B$4:$M$8,3,FALSE),0)</f>
        <v>0</v>
      </c>
      <c r="I14" s="1">
        <f>IF(L14="não",VLOOKUP(G14,Valores_Dados!$B$4:$M$8,8,FALSE),0)</f>
        <v>87.81</v>
      </c>
      <c r="J14" s="13" t="s">
        <v>283</v>
      </c>
      <c r="K14" s="16" t="s">
        <v>8</v>
      </c>
      <c r="L14" s="2" t="str">
        <f>IF(Simulador!$B$2="sim","NÃO","SIM")</f>
        <v>NÃO</v>
      </c>
      <c r="M14" s="6">
        <f>IF(J14=Simulador!$B$1,1,0)</f>
        <v>0</v>
      </c>
      <c r="N14" s="2">
        <f>IF(M14=0,0,IF(Simulador!$B$4="mobilizado",1,0))</f>
        <v>0</v>
      </c>
      <c r="O14" s="411">
        <v>0.22068219797503197</v>
      </c>
      <c r="P14" s="21">
        <v>1.220682197975032</v>
      </c>
    </row>
    <row r="15" spans="1:17" ht="8.25" customHeight="1" x14ac:dyDescent="0.25">
      <c r="G15" s="17"/>
      <c r="H15" s="93"/>
      <c r="I15" s="93"/>
      <c r="J15" s="18"/>
      <c r="K15" s="19"/>
      <c r="L15" s="2"/>
      <c r="M15" s="2"/>
      <c r="N15" s="2"/>
    </row>
    <row r="16" spans="1:17" x14ac:dyDescent="0.25">
      <c r="E16" s="97"/>
      <c r="F16" s="2" t="str">
        <f t="shared" ref="F16:F20" si="1">CONCATENATE($G$8,$G16,J16)</f>
        <v>MOBILIZADOMontador de AndaimesMínimo</v>
      </c>
      <c r="G16" s="12" t="s">
        <v>10</v>
      </c>
      <c r="H16" s="1">
        <f>IF(L16="sim",VLOOKUP(G16,Valores_Dados!$B$4:$M$8,4,FALSE),0)</f>
        <v>0</v>
      </c>
      <c r="I16" s="1">
        <f>IF(L16="não",VLOOKUP(G16,Valores_Dados!$B$4:$M$8,9,FALSE),0)</f>
        <v>71.28</v>
      </c>
      <c r="J16" s="13" t="s">
        <v>3</v>
      </c>
      <c r="K16" s="14" t="s">
        <v>8</v>
      </c>
      <c r="L16" s="2" t="str">
        <f>IF(Simulador!$B$2="sim","NÃO","SIM")</f>
        <v>NÃO</v>
      </c>
      <c r="M16" s="6">
        <f>IF(J16=Simulador!$B$1,1,0)</f>
        <v>0</v>
      </c>
      <c r="N16" s="2">
        <f>IF(M16=0,0,IF(Simulador!$B$4="mobilizado",1,0))</f>
        <v>0</v>
      </c>
      <c r="O16" s="411"/>
    </row>
    <row r="17" spans="5:15" x14ac:dyDescent="0.25">
      <c r="E17" s="97"/>
      <c r="F17" s="2" t="str">
        <f t="shared" si="1"/>
        <v>MOBILIZADOAjudanteMínimo</v>
      </c>
      <c r="G17" s="15" t="s">
        <v>13</v>
      </c>
      <c r="H17" s="1">
        <f>IF(L17="sim",VLOOKUP(G17,Valores_Dados!$B$4:$M$8,4,FALSE),0)</f>
        <v>0</v>
      </c>
      <c r="I17" s="1">
        <f>IF(L17="não",VLOOKUP(G17,Valores_Dados!$B$4:$M$8,9,FALSE),0)</f>
        <v>55.16</v>
      </c>
      <c r="J17" s="8" t="s">
        <v>3</v>
      </c>
      <c r="K17" s="16" t="s">
        <v>8</v>
      </c>
      <c r="L17" s="2" t="str">
        <f>IF(Simulador!$B$2="sim","NÃO","SIM")</f>
        <v>NÃO</v>
      </c>
      <c r="M17" s="6">
        <f>IF(J17=Simulador!$B$1,1,0)</f>
        <v>0</v>
      </c>
      <c r="N17" s="2">
        <f>IF(M17=0,0,IF(Simulador!$B$4="mobilizado",1,0))</f>
        <v>0</v>
      </c>
      <c r="O17" s="411"/>
    </row>
    <row r="18" spans="5:15" x14ac:dyDescent="0.25">
      <c r="E18" s="97"/>
      <c r="F18" s="2" t="str">
        <f t="shared" si="1"/>
        <v>MOBILIZADOEncarregadoMínimo</v>
      </c>
      <c r="G18" s="15" t="s">
        <v>24</v>
      </c>
      <c r="H18" s="1">
        <f>IF(L18="sim",VLOOKUP(G18,Valores_Dados!$B$4:$M$8,4,FALSE),0)</f>
        <v>0</v>
      </c>
      <c r="I18" s="1">
        <f>IF(L18="não",VLOOKUP(G18,Valores_Dados!$B$4:$M$8,9,FALSE),0)</f>
        <v>107.01</v>
      </c>
      <c r="J18" s="8" t="s">
        <v>3</v>
      </c>
      <c r="K18" s="16" t="s">
        <v>8</v>
      </c>
      <c r="L18" s="2" t="str">
        <f>IF(Simulador!$B$2="sim","NÃO","SIM")</f>
        <v>NÃO</v>
      </c>
      <c r="M18" s="6">
        <f>IF(J18=Simulador!$B$1,1,0)</f>
        <v>0</v>
      </c>
      <c r="N18" s="2">
        <f>IF(M18=0,0,IF(Simulador!$B$4="mobilizado",1,0))</f>
        <v>0</v>
      </c>
      <c r="O18" s="411"/>
    </row>
    <row r="19" spans="5:15" x14ac:dyDescent="0.25">
      <c r="E19" s="97"/>
      <c r="F19" s="2" t="str">
        <f t="shared" si="1"/>
        <v>MOBILIZADOLíder de EquipeMínimo</v>
      </c>
      <c r="G19" s="15" t="s">
        <v>11</v>
      </c>
      <c r="H19" s="1">
        <f>IF(L19="sim",VLOOKUP(G19,Valores_Dados!$B$4:$M$8,4,FALSE),0)</f>
        <v>0</v>
      </c>
      <c r="I19" s="1">
        <f>IF(L19="não",VLOOKUP(G19,Valores_Dados!$B$4:$M$8,9,FALSE),0)</f>
        <v>79.63</v>
      </c>
      <c r="J19" s="8" t="s">
        <v>3</v>
      </c>
      <c r="K19" s="16" t="s">
        <v>8</v>
      </c>
      <c r="L19" s="2" t="str">
        <f>IF(Simulador!$B$2="sim","NÃO","SIM")</f>
        <v>NÃO</v>
      </c>
      <c r="M19" s="6">
        <f>IF(J19=Simulador!$B$1,1,0)</f>
        <v>0</v>
      </c>
      <c r="N19" s="2">
        <f>IF(M19=0,0,IF(Simulador!$B$4="mobilizado",1,0))</f>
        <v>0</v>
      </c>
      <c r="O19" s="411"/>
    </row>
    <row r="20" spans="5:15" x14ac:dyDescent="0.25">
      <c r="E20" s="97"/>
      <c r="F20" s="2" t="str">
        <f t="shared" si="1"/>
        <v>MOBILIZADOTSTMínimo</v>
      </c>
      <c r="G20" s="15" t="s">
        <v>275</v>
      </c>
      <c r="H20" s="1">
        <f>IF(L20="sim",VLOOKUP(G20,Valores_Dados!$B$4:$M$8,4,FALSE),0)</f>
        <v>0</v>
      </c>
      <c r="I20" s="1">
        <f>IF(L20="não",VLOOKUP(G20,Valores_Dados!$B$4:$M$8,9,FALSE),0)</f>
        <v>89.98</v>
      </c>
      <c r="J20" s="8" t="s">
        <v>3</v>
      </c>
      <c r="K20" s="16" t="s">
        <v>8</v>
      </c>
      <c r="L20" s="2" t="str">
        <f>IF(Simulador!$B$2="sim","NÃO","SIM")</f>
        <v>NÃO</v>
      </c>
      <c r="M20" s="6">
        <f>IF(J20=Simulador!$B$1,1,0)</f>
        <v>0</v>
      </c>
      <c r="N20" s="2">
        <f>IF(M20=0,0,IF(Simulador!$B$4="mobilizado",1,0))</f>
        <v>0</v>
      </c>
      <c r="O20" s="411"/>
    </row>
    <row r="21" spans="5:15" ht="6.75" customHeight="1" x14ac:dyDescent="0.25">
      <c r="G21" s="17"/>
      <c r="H21" s="93"/>
      <c r="I21" s="93"/>
      <c r="J21" s="18"/>
      <c r="K21" s="19"/>
      <c r="L21" s="2"/>
      <c r="M21" s="2"/>
      <c r="N21" s="2"/>
    </row>
    <row r="22" spans="5:15" x14ac:dyDescent="0.25">
      <c r="E22" s="97"/>
      <c r="F22" s="2" t="str">
        <f t="shared" ref="F22:F26" si="2">CONCATENATE($G$8,$G22,J22)</f>
        <v>MOBILIZADOMontador de AndaimesPadrão</v>
      </c>
      <c r="G22" s="15" t="s">
        <v>10</v>
      </c>
      <c r="H22" s="1">
        <f>IF(L22="sim",VLOOKUP(G22,Valores_Dados!$B$4:$M$8,5,FALSE),0)</f>
        <v>0</v>
      </c>
      <c r="I22" s="1">
        <f>IF(L22="não",VLOOKUP(G22,Valores_Dados!$B$4:$M$8,10,FALSE),0)</f>
        <v>72.48</v>
      </c>
      <c r="J22" s="8" t="s">
        <v>4</v>
      </c>
      <c r="K22" s="16" t="s">
        <v>8</v>
      </c>
      <c r="L22" s="2" t="str">
        <f>IF(Simulador!$B$2="sim","NÃO","SIM")</f>
        <v>NÃO</v>
      </c>
      <c r="M22" s="6">
        <f>IF(J22=Simulador!$B$1,1,0)</f>
        <v>0</v>
      </c>
      <c r="N22" s="2">
        <f>IF(M22=0,0,IF(Simulador!$B$4="mobilizado",1,0))</f>
        <v>0</v>
      </c>
      <c r="O22" s="411"/>
    </row>
    <row r="23" spans="5:15" x14ac:dyDescent="0.25">
      <c r="E23" s="97"/>
      <c r="F23" s="2" t="str">
        <f t="shared" si="2"/>
        <v>MOBILIZADOAjudantePadrão</v>
      </c>
      <c r="G23" s="15" t="s">
        <v>13</v>
      </c>
      <c r="H23" s="1">
        <f>IF(L23="sim",VLOOKUP(G23,Valores_Dados!$B$4:$M$8,5,FALSE),0)</f>
        <v>0</v>
      </c>
      <c r="I23" s="1">
        <f>IF(L23="não",VLOOKUP(G23,Valores_Dados!$B$4:$M$8,10,FALSE),0)</f>
        <v>56.09</v>
      </c>
      <c r="J23" s="8" t="s">
        <v>4</v>
      </c>
      <c r="K23" s="16" t="s">
        <v>8</v>
      </c>
      <c r="L23" s="2" t="str">
        <f>IF(Simulador!$B$2="sim","NÃO","SIM")</f>
        <v>NÃO</v>
      </c>
      <c r="M23" s="6">
        <f>IF(J23=Simulador!$B$1,1,0)</f>
        <v>0</v>
      </c>
      <c r="N23" s="2">
        <f>IF(M23=0,0,IF(Simulador!$B$4="mobilizado",1,0))</f>
        <v>0</v>
      </c>
      <c r="O23" s="411"/>
    </row>
    <row r="24" spans="5:15" x14ac:dyDescent="0.25">
      <c r="E24" s="97"/>
      <c r="F24" s="2" t="str">
        <f t="shared" si="2"/>
        <v>MOBILIZADOEncarregadoPadrão</v>
      </c>
      <c r="G24" s="15" t="s">
        <v>24</v>
      </c>
      <c r="H24" s="1">
        <f>IF(L24="sim",VLOOKUP(G24,Valores_Dados!$B$4:$M$8,5,FALSE),0)</f>
        <v>0</v>
      </c>
      <c r="I24" s="1">
        <f>IF(L24="não",VLOOKUP(G24,Valores_Dados!$B$4:$M$8,10,FALSE),0)</f>
        <v>108.81</v>
      </c>
      <c r="J24" s="8" t="s">
        <v>4</v>
      </c>
      <c r="K24" s="16" t="s">
        <v>8</v>
      </c>
      <c r="L24" s="2" t="str">
        <f>IF(Simulador!$B$2="sim","NÃO","SIM")</f>
        <v>NÃO</v>
      </c>
      <c r="M24" s="6">
        <f>IF(J24=Simulador!$B$1,1,0)</f>
        <v>0</v>
      </c>
      <c r="N24" s="2">
        <f>IF(M24=0,0,IF(Simulador!$B$4="mobilizado",1,0))</f>
        <v>0</v>
      </c>
      <c r="O24" s="411"/>
    </row>
    <row r="25" spans="5:15" x14ac:dyDescent="0.25">
      <c r="E25" s="97"/>
      <c r="F25" s="2" t="str">
        <f t="shared" si="2"/>
        <v>MOBILIZADOLíder de EquipePadrão</v>
      </c>
      <c r="G25" s="15" t="s">
        <v>11</v>
      </c>
      <c r="H25" s="1">
        <f>IF(L25="sim",VLOOKUP(G25,Valores_Dados!$B$4:$M$8,5,FALSE),0)</f>
        <v>0</v>
      </c>
      <c r="I25" s="1">
        <f>IF(L25="não",VLOOKUP(G25,Valores_Dados!$B$4:$M$8,10,FALSE),0)</f>
        <v>80.959999999999994</v>
      </c>
      <c r="J25" s="8" t="s">
        <v>4</v>
      </c>
      <c r="K25" s="16" t="s">
        <v>8</v>
      </c>
      <c r="L25" s="2" t="str">
        <f>IF(Simulador!$B$2="sim","NÃO","SIM")</f>
        <v>NÃO</v>
      </c>
      <c r="M25" s="6">
        <f>IF(J25=Simulador!$B$1,1,0)</f>
        <v>0</v>
      </c>
      <c r="N25" s="2">
        <f>IF(M25=0,0,IF(Simulador!$B$4="mobilizado",1,0))</f>
        <v>0</v>
      </c>
      <c r="O25" s="411"/>
    </row>
    <row r="26" spans="5:15" x14ac:dyDescent="0.25">
      <c r="E26" s="97"/>
      <c r="F26" s="2" t="str">
        <f t="shared" si="2"/>
        <v>MOBILIZADOTSTPadrão</v>
      </c>
      <c r="G26" s="15" t="s">
        <v>275</v>
      </c>
      <c r="H26" s="1">
        <f>IF(L26="sim",VLOOKUP(G26,Valores_Dados!$B$4:$M$8,5,FALSE),0)</f>
        <v>0</v>
      </c>
      <c r="I26" s="1">
        <f>IF(L26="não",VLOOKUP(G26,Valores_Dados!$B$4:$M$8,10,FALSE),0)</f>
        <v>91.5</v>
      </c>
      <c r="J26" s="8" t="s">
        <v>4</v>
      </c>
      <c r="K26" s="16" t="s">
        <v>8</v>
      </c>
      <c r="L26" s="2" t="str">
        <f>IF(Simulador!$B$2="sim","NÃO","SIM")</f>
        <v>NÃO</v>
      </c>
      <c r="M26" s="6">
        <f>IF(J26=Simulador!$B$1,1,0)</f>
        <v>0</v>
      </c>
      <c r="N26" s="2">
        <f>IF(M26=0,0,IF(Simulador!$B$4="mobilizado",1,0))</f>
        <v>0</v>
      </c>
      <c r="O26" s="411"/>
    </row>
    <row r="27" spans="5:15" ht="8.25" customHeight="1" x14ac:dyDescent="0.25">
      <c r="G27" s="17"/>
      <c r="H27" s="93"/>
      <c r="I27" s="93"/>
      <c r="J27" s="18"/>
      <c r="K27" s="19"/>
      <c r="L27" s="2"/>
      <c r="M27" s="2"/>
      <c r="N27" s="2"/>
    </row>
    <row r="28" spans="5:15" x14ac:dyDescent="0.25">
      <c r="E28" s="97"/>
      <c r="F28" s="2" t="str">
        <f t="shared" ref="F28:F32" si="3">CONCATENATE($G$8,$G28,J28)</f>
        <v>MOBILIZADOMontador de AndaimesP+1</v>
      </c>
      <c r="G28" s="15" t="s">
        <v>10</v>
      </c>
      <c r="H28" s="1">
        <f>IF(L28="sim",VLOOKUP(G28,Valores_Dados!$B$4:$M$8,6,FALSE),0)</f>
        <v>0</v>
      </c>
      <c r="I28" s="1">
        <f>IF(L28="não",VLOOKUP(G28,Valores_Dados!$B$4:$M$8,11,FALSE),0)</f>
        <v>74.349999999999994</v>
      </c>
      <c r="J28" s="8" t="s">
        <v>296</v>
      </c>
      <c r="K28" s="16" t="s">
        <v>8</v>
      </c>
      <c r="L28" s="2" t="str">
        <f>IF(Simulador!$B$2="sim","NÃO","SIM")</f>
        <v>NÃO</v>
      </c>
      <c r="M28" s="6">
        <f>IF(J28=Simulador!$B$1,1,0)</f>
        <v>0</v>
      </c>
      <c r="N28" s="2">
        <f>IF(M28=0,0,IF(Simulador!$B$4="mobilizado",1,0))</f>
        <v>0</v>
      </c>
      <c r="O28" s="411"/>
    </row>
    <row r="29" spans="5:15" x14ac:dyDescent="0.25">
      <c r="E29" s="97"/>
      <c r="F29" s="2" t="str">
        <f t="shared" si="3"/>
        <v>MOBILIZADOAjudanteP+1</v>
      </c>
      <c r="G29" s="15" t="s">
        <v>13</v>
      </c>
      <c r="H29" s="1">
        <f>IF(L29="sim",VLOOKUP(G29,Valores_Dados!$B$4:$M$8,6,FALSE),0)</f>
        <v>0</v>
      </c>
      <c r="I29" s="1">
        <f>IF(L29="não",VLOOKUP(G29,Valores_Dados!$B$4:$M$8,11,FALSE),0)</f>
        <v>57.54</v>
      </c>
      <c r="J29" s="8" t="s">
        <v>296</v>
      </c>
      <c r="K29" s="16" t="s">
        <v>8</v>
      </c>
      <c r="L29" s="2" t="str">
        <f>IF(Simulador!$B$2="sim","NÃO","SIM")</f>
        <v>NÃO</v>
      </c>
      <c r="M29" s="6">
        <f>IF(J29=Simulador!$B$1,1,0)</f>
        <v>0</v>
      </c>
      <c r="N29" s="2">
        <f>IF(M29=0,0,IF(Simulador!$B$4="mobilizado",1,0))</f>
        <v>0</v>
      </c>
      <c r="O29" s="411"/>
    </row>
    <row r="30" spans="5:15" x14ac:dyDescent="0.25">
      <c r="E30" s="97"/>
      <c r="F30" s="2" t="str">
        <f t="shared" si="3"/>
        <v>MOBILIZADOEncarregadoP+1</v>
      </c>
      <c r="G30" s="15" t="s">
        <v>24</v>
      </c>
      <c r="H30" s="1">
        <f>IF(L30="sim",VLOOKUP(G30,Valores_Dados!$B$4:$M$8,6,FALSE),0)</f>
        <v>0</v>
      </c>
      <c r="I30" s="1">
        <f>IF(L30="não",VLOOKUP(G30,Valores_Dados!$B$4:$M$8,11,FALSE),0)</f>
        <v>111.62</v>
      </c>
      <c r="J30" s="8" t="s">
        <v>296</v>
      </c>
      <c r="K30" s="16" t="s">
        <v>8</v>
      </c>
      <c r="L30" s="2" t="str">
        <f>IF(Simulador!$B$2="sim","NÃO","SIM")</f>
        <v>NÃO</v>
      </c>
      <c r="M30" s="6">
        <f>IF(J30=Simulador!$B$1,1,0)</f>
        <v>0</v>
      </c>
      <c r="N30" s="2">
        <f>IF(M30=0,0,IF(Simulador!$B$4="mobilizado",1,0))</f>
        <v>0</v>
      </c>
      <c r="O30" s="411"/>
    </row>
    <row r="31" spans="5:15" x14ac:dyDescent="0.25">
      <c r="E31" s="97"/>
      <c r="F31" s="2" t="str">
        <f t="shared" si="3"/>
        <v>MOBILIZADOLíder de EquipeP+1</v>
      </c>
      <c r="G31" s="15" t="s">
        <v>11</v>
      </c>
      <c r="H31" s="1">
        <f>IF(L31="sim",VLOOKUP(G31,Valores_Dados!$B$4:$M$8,6,FALSE),0)</f>
        <v>0</v>
      </c>
      <c r="I31" s="1">
        <f>IF(L31="não",VLOOKUP(G31,Valores_Dados!$B$4:$M$8,11,FALSE),0)</f>
        <v>83.06</v>
      </c>
      <c r="J31" s="8" t="s">
        <v>296</v>
      </c>
      <c r="K31" s="16" t="s">
        <v>8</v>
      </c>
      <c r="L31" s="2" t="str">
        <f>IF(Simulador!$B$2="sim","NÃO","SIM")</f>
        <v>NÃO</v>
      </c>
      <c r="M31" s="6">
        <f>IF(J31=Simulador!$B$1,1,0)</f>
        <v>0</v>
      </c>
      <c r="N31" s="2">
        <f>IF(M31=0,0,IF(Simulador!$B$4="mobilizado",1,0))</f>
        <v>0</v>
      </c>
      <c r="O31" s="411"/>
    </row>
    <row r="32" spans="5:15" x14ac:dyDescent="0.25">
      <c r="E32" s="97"/>
      <c r="F32" s="2" t="str">
        <f t="shared" si="3"/>
        <v>MOBILIZADOTSTP+1</v>
      </c>
      <c r="G32" s="15" t="s">
        <v>275</v>
      </c>
      <c r="H32" s="1">
        <f>IF(L32="sim",VLOOKUP(G32,Valores_Dados!$B$4:$M$8,6,FALSE),0)</f>
        <v>0</v>
      </c>
      <c r="I32" s="1">
        <f>IF(L32="não",VLOOKUP(G32,Valores_Dados!$B$4:$M$8,10,FALSE),0)</f>
        <v>91.5</v>
      </c>
      <c r="J32" s="8" t="s">
        <v>296</v>
      </c>
      <c r="K32" s="16" t="s">
        <v>8</v>
      </c>
      <c r="L32" s="2" t="str">
        <f>IF(Simulador!$B$2="sim","NÃO","SIM")</f>
        <v>NÃO</v>
      </c>
      <c r="M32" s="6">
        <f>IF(J32=Simulador!$B$1,1,0)</f>
        <v>0</v>
      </c>
      <c r="N32" s="2">
        <f>IF(M32=0,0,IF(Simulador!$B$4="mobilizado",1,0))</f>
        <v>0</v>
      </c>
      <c r="O32" s="411"/>
    </row>
    <row r="33" spans="5:21" ht="8.25" customHeight="1" x14ac:dyDescent="0.25">
      <c r="G33" s="17"/>
      <c r="H33" s="96"/>
      <c r="I33" s="96"/>
      <c r="J33" s="18"/>
      <c r="K33" s="19"/>
      <c r="L33" s="2"/>
      <c r="M33" s="2"/>
      <c r="N33" s="2"/>
    </row>
    <row r="34" spans="5:21" x14ac:dyDescent="0.25">
      <c r="E34" s="97"/>
      <c r="F34" s="2" t="str">
        <f t="shared" ref="F34:F37" si="4">CONCATENATE($G$8,$G34,J34)</f>
        <v>MOBILIZADOMontador de AndaimesMáximo</v>
      </c>
      <c r="G34" s="15" t="s">
        <v>10</v>
      </c>
      <c r="H34" s="1">
        <f>IF(L34="sim",VLOOKUP(G34,Valores_Dados!$B$4:$M$8,7,FALSE),0)</f>
        <v>0</v>
      </c>
      <c r="I34" s="1">
        <f>IF(L34="não",VLOOKUP(G34,Valores_Dados!$B$4:$M$8,12,FALSE),0)</f>
        <v>79.849999999999994</v>
      </c>
      <c r="J34" s="8" t="s">
        <v>5</v>
      </c>
      <c r="K34" s="16" t="s">
        <v>8</v>
      </c>
      <c r="L34" s="2" t="str">
        <f>IF(Simulador!$B$2="sim","NÃO","SIM")</f>
        <v>NÃO</v>
      </c>
      <c r="M34" s="6">
        <f>IF(J34=Simulador!$B$1,1,0)</f>
        <v>1</v>
      </c>
      <c r="N34" s="2">
        <f>IF(M34=0,0,IF(Simulador!$B$4="mobilizado",1,0))</f>
        <v>0</v>
      </c>
      <c r="O34" s="411"/>
    </row>
    <row r="35" spans="5:21" x14ac:dyDescent="0.25">
      <c r="E35" s="97"/>
      <c r="F35" s="2" t="str">
        <f t="shared" si="4"/>
        <v>MOBILIZADOAjudanteMáximo</v>
      </c>
      <c r="G35" s="15" t="s">
        <v>13</v>
      </c>
      <c r="H35" s="1">
        <f>IF(L35="sim",VLOOKUP(G35,Valores_Dados!$B$4:$M$8,7,FALSE),0)</f>
        <v>0</v>
      </c>
      <c r="I35" s="1">
        <f>IF(L35="não",VLOOKUP(G35,Valores_Dados!$B$4:$M$8,12,FALSE),0)</f>
        <v>61.8</v>
      </c>
      <c r="J35" s="8" t="s">
        <v>5</v>
      </c>
      <c r="K35" s="16" t="s">
        <v>8</v>
      </c>
      <c r="L35" s="2" t="str">
        <f>IF(Simulador!$B$2="sim","NÃO","SIM")</f>
        <v>NÃO</v>
      </c>
      <c r="M35" s="6">
        <f>IF(J35=Simulador!$B$1,1,0)</f>
        <v>1</v>
      </c>
      <c r="N35" s="2">
        <f>IF(M35=0,0,IF(Simulador!$B$4="mobilizado",1,0))</f>
        <v>0</v>
      </c>
      <c r="O35" s="411"/>
    </row>
    <row r="36" spans="5:21" x14ac:dyDescent="0.25">
      <c r="E36" s="97"/>
      <c r="F36" s="2" t="str">
        <f t="shared" si="4"/>
        <v>MOBILIZADOEncarregadoMáximo</v>
      </c>
      <c r="G36" s="15" t="s">
        <v>24</v>
      </c>
      <c r="H36" s="1">
        <f>IF(L36="sim",VLOOKUP(G36,Valores_Dados!$B$4:$M$8,7,FALSE),0)</f>
        <v>0</v>
      </c>
      <c r="I36" s="1">
        <f>IF(L36="não",VLOOKUP(G36,Valores_Dados!$B$4:$M$8,12,FALSE),0)</f>
        <v>119.88</v>
      </c>
      <c r="J36" s="8" t="s">
        <v>5</v>
      </c>
      <c r="K36" s="16" t="s">
        <v>8</v>
      </c>
      <c r="L36" s="2" t="str">
        <f>IF(Simulador!$B$2="sim","NÃO","SIM")</f>
        <v>NÃO</v>
      </c>
      <c r="M36" s="6">
        <f>IF(J36=Simulador!$B$1,1,0)</f>
        <v>1</v>
      </c>
      <c r="N36" s="2">
        <f>IF(M36=0,0,IF(Simulador!$B$4="mobilizado",1,0))</f>
        <v>0</v>
      </c>
      <c r="O36" s="411"/>
    </row>
    <row r="37" spans="5:21" x14ac:dyDescent="0.25">
      <c r="E37" s="97"/>
      <c r="F37" s="2" t="str">
        <f t="shared" si="4"/>
        <v>MOBILIZADOLíder de EquipeMáximo</v>
      </c>
      <c r="G37" s="15" t="s">
        <v>11</v>
      </c>
      <c r="H37" s="1">
        <f>IF(L37="sim",VLOOKUP(G37,Valores_Dados!$B$4:$M$8,7,FALSE),0)</f>
        <v>0</v>
      </c>
      <c r="I37" s="1">
        <f>IF(L37="não",VLOOKUP(G37,Valores_Dados!$B$4:$M$8,12,FALSE),0)</f>
        <v>89.2</v>
      </c>
      <c r="J37" s="8" t="s">
        <v>5</v>
      </c>
      <c r="K37" s="16" t="s">
        <v>8</v>
      </c>
      <c r="L37" s="2" t="str">
        <f>IF(Simulador!$B$2="sim","NÃO","SIM")</f>
        <v>NÃO</v>
      </c>
      <c r="M37" s="6">
        <f>IF(J37=Simulador!$B$1,1,0)</f>
        <v>1</v>
      </c>
      <c r="N37" s="2">
        <f>IF(M37=0,0,IF(Simulador!$B$4="mobilizado",1,0))</f>
        <v>0</v>
      </c>
      <c r="O37" s="411"/>
    </row>
    <row r="38" spans="5:21" x14ac:dyDescent="0.25">
      <c r="E38" s="97"/>
      <c r="F38" s="2" t="str">
        <f>CONCATENATE($G$8,$G38,J38)</f>
        <v>MOBILIZADOTSTMáximo</v>
      </c>
      <c r="G38" s="15" t="s">
        <v>275</v>
      </c>
      <c r="H38" s="1">
        <f>IF(L38="sim",VLOOKUP(G38,Valores_Dados!$B$4:$M$8,7,FALSE),0)</f>
        <v>0</v>
      </c>
      <c r="I38" s="1">
        <f>IF(L38="não",VLOOKUP(G38,Valores_Dados!$B$4:$M$8,12,FALSE),0)</f>
        <v>100.81</v>
      </c>
      <c r="J38" s="8" t="s">
        <v>5</v>
      </c>
      <c r="K38" s="16" t="s">
        <v>8</v>
      </c>
      <c r="L38" s="2" t="str">
        <f>IF(Simulador!$B$2="sim","NÃO","SIM")</f>
        <v>NÃO</v>
      </c>
      <c r="M38" s="6">
        <f>IF(J38=Simulador!$B$1,1,0)</f>
        <v>1</v>
      </c>
      <c r="N38" s="2">
        <f>IF(M38=0,0,IF(Simulador!$B$4="mobilizado",1,0))</f>
        <v>0</v>
      </c>
      <c r="O38" s="411"/>
    </row>
    <row r="39" spans="5:21" ht="15.75" thickBot="1" x14ac:dyDescent="0.3">
      <c r="L39" s="2"/>
      <c r="M39" s="2"/>
      <c r="N39" s="2"/>
    </row>
    <row r="40" spans="5:21" x14ac:dyDescent="0.25">
      <c r="G40" s="474" t="s">
        <v>285</v>
      </c>
      <c r="H40" s="475"/>
      <c r="I40" s="475"/>
      <c r="J40" s="475"/>
      <c r="K40" s="476"/>
      <c r="L40" s="2"/>
    </row>
    <row r="41" spans="5:21" ht="15.75" thickBot="1" x14ac:dyDescent="0.3">
      <c r="G41" s="11" t="s">
        <v>17</v>
      </c>
      <c r="H41" s="92" t="s">
        <v>287</v>
      </c>
      <c r="I41" s="92" t="s">
        <v>286</v>
      </c>
      <c r="J41" s="11" t="s">
        <v>21</v>
      </c>
      <c r="K41" s="11" t="s">
        <v>7</v>
      </c>
      <c r="L41" s="2" t="s">
        <v>288</v>
      </c>
      <c r="M41" s="2" t="s">
        <v>289</v>
      </c>
      <c r="N41" s="2" t="s">
        <v>290</v>
      </c>
    </row>
    <row r="42" spans="5:21" x14ac:dyDescent="0.25">
      <c r="E42" s="97"/>
      <c r="F42" s="2" t="str">
        <f t="shared" ref="F42:F46" si="5">CONCATENATE($G$40,$G42,J42)</f>
        <v>Não MobilizadoMontador de AndaimesLimite</v>
      </c>
      <c r="G42" s="12" t="s">
        <v>10</v>
      </c>
      <c r="H42" s="1">
        <f>IF(L42="sim",VLOOKUP(G42,Valores_Dados!$B$11:$M$15,3,FALSE),0)</f>
        <v>0</v>
      </c>
      <c r="I42" s="1">
        <f>IF(L42="não",VLOOKUP(G42,Valores_Dados!$B$11:$M$15,8,FALSE),0)</f>
        <v>69.98</v>
      </c>
      <c r="J42" s="13" t="s">
        <v>283</v>
      </c>
      <c r="K42" s="14" t="s">
        <v>8</v>
      </c>
      <c r="L42" s="2" t="str">
        <f>IF(Simulador!$B$2="sim","NÃO","SIM")</f>
        <v>NÃO</v>
      </c>
      <c r="M42" s="6">
        <f>IF(J42=Simulador!$B$1,1,0)</f>
        <v>0</v>
      </c>
      <c r="N42" s="2">
        <f>IF(M42=0,0,IF(Simulador!$B$4="mobilizado",1,0))</f>
        <v>0</v>
      </c>
      <c r="O42" s="411"/>
    </row>
    <row r="43" spans="5:21" x14ac:dyDescent="0.25">
      <c r="E43" s="97"/>
      <c r="F43" s="2" t="str">
        <f t="shared" si="5"/>
        <v>Não MobilizadoAjudanteLimite</v>
      </c>
      <c r="G43" s="15" t="s">
        <v>13</v>
      </c>
      <c r="H43" s="1">
        <f>IF(L43="sim",VLOOKUP(G43,Valores_Dados!$B$11:$M$15,3,FALSE),0)</f>
        <v>0</v>
      </c>
      <c r="I43" s="1">
        <f>IF(L43="não",VLOOKUP(G43,Valores_Dados!$B$11:$M$15,8,FALSE),0)</f>
        <v>54.26</v>
      </c>
      <c r="J43" s="13" t="s">
        <v>283</v>
      </c>
      <c r="K43" s="16" t="s">
        <v>8</v>
      </c>
      <c r="L43" s="2" t="str">
        <f>IF(Simulador!$B$2="sim","NÃO","SIM")</f>
        <v>NÃO</v>
      </c>
      <c r="M43" s="6">
        <f>IF(J43=Simulador!$B$1,1,0)</f>
        <v>0</v>
      </c>
      <c r="N43" s="2">
        <f>IF(M43=0,0,IF(Simulador!$B$4="mobilizado",1,0))</f>
        <v>0</v>
      </c>
      <c r="O43" s="411"/>
      <c r="T43" s="20"/>
      <c r="U43" s="20"/>
    </row>
    <row r="44" spans="5:21" x14ac:dyDescent="0.25">
      <c r="E44" s="97"/>
      <c r="F44" s="2" t="str">
        <f t="shared" si="5"/>
        <v>Não MobilizadoEncarregadoLimite</v>
      </c>
      <c r="G44" s="15" t="s">
        <v>24</v>
      </c>
      <c r="H44" s="1">
        <f>IF(L44="sim",VLOOKUP(G44,Valores_Dados!$B$11:$M$15,3,FALSE),0)</f>
        <v>0</v>
      </c>
      <c r="I44" s="1">
        <f>IF(L44="não",VLOOKUP(G44,Valores_Dados!$B$11:$M$15,8,FALSE),0)</f>
        <v>104.85</v>
      </c>
      <c r="J44" s="13" t="s">
        <v>283</v>
      </c>
      <c r="K44" s="16" t="s">
        <v>8</v>
      </c>
      <c r="L44" s="2" t="str">
        <f>IF(Simulador!$B$2="sim","NÃO","SIM")</f>
        <v>NÃO</v>
      </c>
      <c r="M44" s="6">
        <f>IF(J44=Simulador!$B$1,1,0)</f>
        <v>0</v>
      </c>
      <c r="N44" s="2">
        <f>IF(M44=0,0,IF(Simulador!$B$4="mobilizado",1,0))</f>
        <v>0</v>
      </c>
      <c r="O44" s="411"/>
      <c r="S44" s="20"/>
      <c r="T44" s="20"/>
      <c r="U44" s="20"/>
    </row>
    <row r="45" spans="5:21" x14ac:dyDescent="0.25">
      <c r="E45" s="97"/>
      <c r="F45" s="2" t="str">
        <f t="shared" si="5"/>
        <v>Não MobilizadoLíder de EquipeLimite</v>
      </c>
      <c r="G45" s="15" t="s">
        <v>11</v>
      </c>
      <c r="H45" s="1">
        <f>IF(L45="sim",VLOOKUP(G45,Valores_Dados!$B$11:$M$15,3,FALSE),0)</f>
        <v>0</v>
      </c>
      <c r="I45" s="1">
        <f>IF(L45="não",VLOOKUP(G45,Valores_Dados!$B$11:$M$15,8,FALSE),0)</f>
        <v>78.13</v>
      </c>
      <c r="J45" s="13" t="s">
        <v>283</v>
      </c>
      <c r="K45" s="16" t="s">
        <v>8</v>
      </c>
      <c r="L45" s="2" t="str">
        <f>IF(Simulador!$B$2="sim","NÃO","SIM")</f>
        <v>NÃO</v>
      </c>
      <c r="M45" s="6">
        <f>IF(J45=Simulador!$B$1,1,0)</f>
        <v>0</v>
      </c>
      <c r="N45" s="2">
        <f>IF(M45=0,0,IF(Simulador!$B$4="mobilizado",1,0))</f>
        <v>0</v>
      </c>
      <c r="O45" s="411"/>
      <c r="S45" s="20"/>
      <c r="T45" s="20"/>
      <c r="U45" s="20"/>
    </row>
    <row r="46" spans="5:21" x14ac:dyDescent="0.25">
      <c r="E46" s="97"/>
      <c r="F46" s="2" t="str">
        <f t="shared" si="5"/>
        <v>Não MobilizadoTSTLimite</v>
      </c>
      <c r="G46" s="15" t="s">
        <v>275</v>
      </c>
      <c r="H46" s="1">
        <f>IF(L46="sim",VLOOKUP(G46,Valores_Dados!$B$11:$M$15,3,FALSE),0)</f>
        <v>0</v>
      </c>
      <c r="I46" s="1">
        <f>IF(L46="não",VLOOKUP(G46,Valores_Dados!$B$11:$M$15,8,FALSE),0)</f>
        <v>88.24</v>
      </c>
      <c r="J46" s="13" t="s">
        <v>283</v>
      </c>
      <c r="K46" s="16" t="s">
        <v>8</v>
      </c>
      <c r="L46" s="2" t="str">
        <f>IF(Simulador!$B$2="sim","NÃO","SIM")</f>
        <v>NÃO</v>
      </c>
      <c r="M46" s="6">
        <f>IF(J46=Simulador!$B$1,1,0)</f>
        <v>0</v>
      </c>
      <c r="N46" s="2">
        <f>IF(M46=0,0,IF(Simulador!$B$4="mobilizado",1,0))</f>
        <v>0</v>
      </c>
      <c r="O46" s="411"/>
      <c r="S46" s="20"/>
      <c r="T46" s="20"/>
      <c r="U46" s="20"/>
    </row>
    <row r="47" spans="5:21" ht="8.25" customHeight="1" x14ac:dyDescent="0.25">
      <c r="G47" s="17"/>
      <c r="H47" s="93"/>
      <c r="I47" s="93"/>
      <c r="J47" s="18"/>
      <c r="K47" s="19"/>
      <c r="L47" s="2"/>
      <c r="M47" s="2"/>
      <c r="N47" s="2"/>
    </row>
    <row r="48" spans="5:21" x14ac:dyDescent="0.25">
      <c r="E48" s="97"/>
      <c r="F48" s="2" t="str">
        <f t="shared" ref="F48:F52" si="6">CONCATENATE($G$40,$G48,J48)</f>
        <v>Não MobilizadoMontador de AndaimesMínimo</v>
      </c>
      <c r="G48" s="12" t="s">
        <v>10</v>
      </c>
      <c r="H48" s="1">
        <f>IF(L48="sim",VLOOKUP(G48,Valores_Dados!$B$11:$M$15,4,FALSE),0)</f>
        <v>0</v>
      </c>
      <c r="I48" s="1">
        <f>IF(L48="não",VLOOKUP(G48,Valores_Dados!$B$11:$M$15,9,FALSE),0)</f>
        <v>71.72</v>
      </c>
      <c r="J48" s="13" t="s">
        <v>3</v>
      </c>
      <c r="K48" s="14" t="s">
        <v>8</v>
      </c>
      <c r="L48" s="2" t="str">
        <f>IF(Simulador!$B$2="sim","NÃO","SIM")</f>
        <v>NÃO</v>
      </c>
      <c r="M48" s="6">
        <f>IF(J48=Simulador!$B$1,1,0)</f>
        <v>0</v>
      </c>
      <c r="N48" s="2">
        <f>IF(M48=0,0,IF(Simulador!$B$4="mobilizado",1,0))</f>
        <v>0</v>
      </c>
      <c r="O48" s="411"/>
      <c r="S48" s="20"/>
      <c r="T48" s="20"/>
      <c r="U48" s="20"/>
    </row>
    <row r="49" spans="5:23" x14ac:dyDescent="0.25">
      <c r="E49" s="97"/>
      <c r="F49" s="2" t="str">
        <f t="shared" si="6"/>
        <v>Não MobilizadoAjudanteMínimo</v>
      </c>
      <c r="G49" s="15" t="s">
        <v>13</v>
      </c>
      <c r="H49" s="1">
        <f>IF(L49="sim",VLOOKUP(G49,Valores_Dados!$B$11:$M$15,4,FALSE),0)</f>
        <v>0</v>
      </c>
      <c r="I49" s="1">
        <f>IF(L49="não",VLOOKUP(G49,Valores_Dados!$B$11:$M$15,9,FALSE),0)</f>
        <v>55.6</v>
      </c>
      <c r="J49" s="8" t="s">
        <v>3</v>
      </c>
      <c r="K49" s="16" t="s">
        <v>8</v>
      </c>
      <c r="L49" s="2" t="str">
        <f>IF(Simulador!$B$2="sim","NÃO","SIM")</f>
        <v>NÃO</v>
      </c>
      <c r="M49" s="6">
        <f>IF(J49=Simulador!$B$1,1,0)</f>
        <v>0</v>
      </c>
      <c r="N49" s="2">
        <f>IF(M49=0,0,IF(Simulador!$B$4="mobilizado",1,0))</f>
        <v>0</v>
      </c>
      <c r="O49" s="411"/>
      <c r="S49" s="20"/>
      <c r="T49" s="20"/>
      <c r="U49" s="20"/>
    </row>
    <row r="50" spans="5:23" x14ac:dyDescent="0.25">
      <c r="E50" s="97"/>
      <c r="F50" s="2" t="str">
        <f t="shared" si="6"/>
        <v>Não MobilizadoEncarregadoMínimo</v>
      </c>
      <c r="G50" s="15" t="s">
        <v>24</v>
      </c>
      <c r="H50" s="1">
        <f>IF(L50="sim",VLOOKUP(G50,Valores_Dados!$B$11:$M$15,4,FALSE),0)</f>
        <v>0</v>
      </c>
      <c r="I50" s="1">
        <f>IF(L50="não",VLOOKUP(G50,Valores_Dados!$B$11:$M$15,9,FALSE),0)</f>
        <v>107.45</v>
      </c>
      <c r="J50" s="8" t="s">
        <v>3</v>
      </c>
      <c r="K50" s="16" t="s">
        <v>8</v>
      </c>
      <c r="L50" s="2" t="str">
        <f>IF(Simulador!$B$2="sim","NÃO","SIM")</f>
        <v>NÃO</v>
      </c>
      <c r="M50" s="6">
        <f>IF(J50=Simulador!$B$1,1,0)</f>
        <v>0</v>
      </c>
      <c r="N50" s="2">
        <f>IF(M50=0,0,IF(Simulador!$B$4="mobilizado",1,0))</f>
        <v>0</v>
      </c>
      <c r="O50" s="411"/>
      <c r="S50" s="20"/>
      <c r="T50" s="20"/>
      <c r="U50" s="20"/>
    </row>
    <row r="51" spans="5:23" x14ac:dyDescent="0.25">
      <c r="E51" s="97"/>
      <c r="F51" s="2" t="str">
        <f t="shared" si="6"/>
        <v>Não MobilizadoLíder de EquipeMínimo</v>
      </c>
      <c r="G51" s="15" t="s">
        <v>11</v>
      </c>
      <c r="H51" s="1">
        <f>IF(L51="sim",VLOOKUP(G51,Valores_Dados!$B$11:$M$15,4,FALSE),0)</f>
        <v>0</v>
      </c>
      <c r="I51" s="1">
        <f>IF(L51="não",VLOOKUP(G51,Valores_Dados!$B$11:$M$15,9,FALSE),0)</f>
        <v>80.06</v>
      </c>
      <c r="J51" s="8" t="s">
        <v>3</v>
      </c>
      <c r="K51" s="16" t="s">
        <v>8</v>
      </c>
      <c r="L51" s="2" t="str">
        <f>IF(Simulador!$B$2="sim","NÃO","SIM")</f>
        <v>NÃO</v>
      </c>
      <c r="M51" s="6">
        <f>IF(J51=Simulador!$B$1,1,0)</f>
        <v>0</v>
      </c>
      <c r="N51" s="2">
        <f>IF(M51=0,0,IF(Simulador!$B$4="mobilizado",1,0))</f>
        <v>0</v>
      </c>
      <c r="O51" s="411"/>
      <c r="S51" s="20"/>
      <c r="T51" s="20"/>
      <c r="U51" s="20"/>
    </row>
    <row r="52" spans="5:23" x14ac:dyDescent="0.25">
      <c r="E52" s="97"/>
      <c r="F52" s="2" t="str">
        <f t="shared" si="6"/>
        <v>Não MobilizadoTSTMínimo</v>
      </c>
      <c r="G52" s="15" t="s">
        <v>275</v>
      </c>
      <c r="H52" s="1">
        <f>IF(L52="sim",VLOOKUP(G52,Valores_Dados!$B$11:$M$15,4,FALSE),0)</f>
        <v>0</v>
      </c>
      <c r="I52" s="1">
        <f>IF(L52="não",VLOOKUP(G52,Valores_Dados!$B$11:$M$15,9,FALSE),0)</f>
        <v>90.42</v>
      </c>
      <c r="J52" s="8" t="s">
        <v>3</v>
      </c>
      <c r="K52" s="16" t="s">
        <v>8</v>
      </c>
      <c r="L52" s="2" t="str">
        <f>IF(Simulador!$B$2="sim","NÃO","SIM")</f>
        <v>NÃO</v>
      </c>
      <c r="M52" s="6">
        <f>IF(J52=Simulador!$B$1,1,0)</f>
        <v>0</v>
      </c>
      <c r="N52" s="2">
        <f>IF(M52=0,0,IF(Simulador!$B$4="mobilizado",1,0))</f>
        <v>0</v>
      </c>
      <c r="O52" s="411"/>
      <c r="S52" s="20"/>
      <c r="T52" s="20"/>
      <c r="U52" s="20"/>
    </row>
    <row r="53" spans="5:23" ht="8.25" customHeight="1" x14ac:dyDescent="0.25">
      <c r="E53" s="97"/>
      <c r="G53" s="17"/>
      <c r="H53" s="93"/>
      <c r="I53" s="93"/>
      <c r="J53" s="18"/>
      <c r="K53" s="19"/>
      <c r="L53" s="2"/>
      <c r="M53" s="2"/>
      <c r="N53" s="2"/>
    </row>
    <row r="54" spans="5:23" x14ac:dyDescent="0.25">
      <c r="E54" s="97"/>
      <c r="F54" s="2" t="str">
        <f>CONCATENATE($G$40,$G54,J54)</f>
        <v>Não MobilizadoMontador de AndaimesPadrão</v>
      </c>
      <c r="G54" s="15" t="s">
        <v>10</v>
      </c>
      <c r="H54" s="1">
        <f>IF(L54="sim",VLOOKUP(G54,Valores_Dados!$B$11:$M$15,5,FALSE),0)</f>
        <v>0</v>
      </c>
      <c r="I54" s="1">
        <f>IF(L54="não",VLOOKUP(G54,Valores_Dados!$B$11:$M$15,10,FALSE),0)</f>
        <v>72.92</v>
      </c>
      <c r="J54" s="8" t="s">
        <v>4</v>
      </c>
      <c r="K54" s="16" t="s">
        <v>8</v>
      </c>
      <c r="L54" s="2" t="str">
        <f>IF(Simulador!$B$2="sim","NÃO","SIM")</f>
        <v>NÃO</v>
      </c>
      <c r="M54" s="6">
        <f>IF(J54=Simulador!$B$1,1,0)</f>
        <v>0</v>
      </c>
      <c r="N54" s="2">
        <f>IF(M54=0,0,IF(Simulador!$B$4="mobilizado",1,0))</f>
        <v>0</v>
      </c>
      <c r="O54" s="411"/>
      <c r="S54" s="20"/>
      <c r="T54" s="20"/>
      <c r="U54" s="20"/>
    </row>
    <row r="55" spans="5:23" x14ac:dyDescent="0.25">
      <c r="E55" s="97"/>
      <c r="F55" s="2" t="str">
        <f t="shared" ref="F55:F58" si="7">CONCATENATE($G$40,$G55,J55)</f>
        <v>Não MobilizadoAjudantePadrão</v>
      </c>
      <c r="G55" s="15" t="s">
        <v>13</v>
      </c>
      <c r="H55" s="1">
        <f>IF(L55="sim",VLOOKUP(G55,Valores_Dados!$B$11:$M$15,5,FALSE),0)</f>
        <v>0</v>
      </c>
      <c r="I55" s="1">
        <f>IF(L55="não",VLOOKUP(G55,Valores_Dados!$B$11:$M$15,10,FALSE),0)</f>
        <v>56.53</v>
      </c>
      <c r="J55" s="8" t="s">
        <v>4</v>
      </c>
      <c r="K55" s="16" t="s">
        <v>8</v>
      </c>
      <c r="L55" s="2" t="str">
        <f>IF(Simulador!$B$2="sim","NÃO","SIM")</f>
        <v>NÃO</v>
      </c>
      <c r="M55" s="6">
        <f>IF(J55=Simulador!$B$1,1,0)</f>
        <v>0</v>
      </c>
      <c r="N55" s="2">
        <f>IF(M55=0,0,IF(Simulador!$B$4="mobilizado",1,0))</f>
        <v>0</v>
      </c>
      <c r="O55" s="411"/>
      <c r="S55" s="20"/>
      <c r="T55" s="20"/>
      <c r="U55" s="20"/>
    </row>
    <row r="56" spans="5:23" x14ac:dyDescent="0.25">
      <c r="E56" s="97"/>
      <c r="F56" s="2" t="str">
        <f t="shared" si="7"/>
        <v>Não MobilizadoEncarregadoPadrão</v>
      </c>
      <c r="G56" s="15" t="s">
        <v>24</v>
      </c>
      <c r="H56" s="1">
        <f>IF(L56="sim",VLOOKUP(G56,Valores_Dados!$B$11:$M$15,5,FALSE),0)</f>
        <v>0</v>
      </c>
      <c r="I56" s="1">
        <f>IF(L56="não",VLOOKUP(G56,Valores_Dados!$B$11:$M$15,10,FALSE),0)</f>
        <v>109.25</v>
      </c>
      <c r="J56" s="8" t="s">
        <v>4</v>
      </c>
      <c r="K56" s="16" t="s">
        <v>8</v>
      </c>
      <c r="L56" s="2" t="str">
        <f>IF(Simulador!$B$2="sim","NÃO","SIM")</f>
        <v>NÃO</v>
      </c>
      <c r="M56" s="6">
        <f>IF(J56=Simulador!$B$1,1,0)</f>
        <v>0</v>
      </c>
      <c r="N56" s="2">
        <f>IF(M56=0,0,IF(Simulador!$B$4="mobilizado",1,0))</f>
        <v>0</v>
      </c>
      <c r="O56" s="411"/>
      <c r="S56" s="20"/>
      <c r="T56" s="20"/>
      <c r="U56" s="20"/>
    </row>
    <row r="57" spans="5:23" x14ac:dyDescent="0.25">
      <c r="E57" s="97"/>
      <c r="F57" s="2" t="str">
        <f t="shared" si="7"/>
        <v>Não MobilizadoLíder de EquipePadrão</v>
      </c>
      <c r="G57" s="15" t="s">
        <v>11</v>
      </c>
      <c r="H57" s="1">
        <f>IF(L57="sim",VLOOKUP(G57,Valores_Dados!$B$11:$M$15,5,FALSE),0)</f>
        <v>0</v>
      </c>
      <c r="I57" s="1">
        <f>IF(L57="não",VLOOKUP(G57,Valores_Dados!$B$11:$M$15,10,FALSE),0)</f>
        <v>81.41</v>
      </c>
      <c r="J57" s="8" t="s">
        <v>4</v>
      </c>
      <c r="K57" s="16" t="s">
        <v>8</v>
      </c>
      <c r="L57" s="2" t="str">
        <f>IF(Simulador!$B$2="sim","NÃO","SIM")</f>
        <v>NÃO</v>
      </c>
      <c r="M57" s="6">
        <f>IF(J57=Simulador!$B$1,1,0)</f>
        <v>0</v>
      </c>
      <c r="N57" s="2">
        <f>IF(M57=0,0,IF(Simulador!$B$4="mobilizado",1,0))</f>
        <v>0</v>
      </c>
      <c r="O57" s="411"/>
      <c r="S57" s="20"/>
      <c r="T57" s="20"/>
      <c r="U57" s="20"/>
    </row>
    <row r="58" spans="5:23" x14ac:dyDescent="0.25">
      <c r="E58" s="97"/>
      <c r="F58" s="2" t="str">
        <f t="shared" si="7"/>
        <v>Não MobilizadoTSTPadrão</v>
      </c>
      <c r="G58" s="15" t="s">
        <v>275</v>
      </c>
      <c r="H58" s="1">
        <f>IF(L58="sim",VLOOKUP(G58,Valores_Dados!$B$11:$M$15,5,FALSE),0)</f>
        <v>0</v>
      </c>
      <c r="I58" s="1">
        <f>IF(L58="não",VLOOKUP(G58,Valores_Dados!$B$11:$M$15,10,FALSE),0)</f>
        <v>91.94</v>
      </c>
      <c r="J58" s="8" t="s">
        <v>4</v>
      </c>
      <c r="K58" s="16" t="s">
        <v>8</v>
      </c>
      <c r="L58" s="2" t="str">
        <f>IF(Simulador!$B$2="sim","NÃO","SIM")</f>
        <v>NÃO</v>
      </c>
      <c r="M58" s="6">
        <f>IF(J58=Simulador!$B$1,1,0)</f>
        <v>0</v>
      </c>
      <c r="N58" s="2">
        <f>IF(M58=0,0,IF(Simulador!$B$4="mobilizado",1,0))</f>
        <v>0</v>
      </c>
      <c r="O58" s="411"/>
      <c r="S58" s="20"/>
      <c r="T58" s="20"/>
      <c r="U58" s="20"/>
    </row>
    <row r="59" spans="5:23" ht="8.25" customHeight="1" x14ac:dyDescent="0.25">
      <c r="E59" s="97"/>
      <c r="G59" s="17"/>
      <c r="H59" s="93"/>
      <c r="I59" s="93"/>
      <c r="J59" s="18"/>
      <c r="K59" s="19"/>
      <c r="L59" s="2"/>
      <c r="M59" s="2"/>
      <c r="N59" s="2"/>
    </row>
    <row r="60" spans="5:23" x14ac:dyDescent="0.25">
      <c r="E60" s="97"/>
      <c r="F60" s="2" t="str">
        <f t="shared" ref="F60:F64" si="8">CONCATENATE($G$40,$G60,J60)</f>
        <v>Não MobilizadoMontador de AndaimesP+1</v>
      </c>
      <c r="G60" s="15" t="s">
        <v>10</v>
      </c>
      <c r="H60" s="1">
        <f>IF(L60="sim",VLOOKUP(G60,Valores_Dados!$B$11:$M$15,6,FALSE),0)</f>
        <v>0</v>
      </c>
      <c r="I60" s="1">
        <f>IF(L60="não",VLOOKUP(G60,Valores_Dados!$B$11:$M$15,11,FALSE),0)</f>
        <v>74.81</v>
      </c>
      <c r="J60" s="8" t="s">
        <v>296</v>
      </c>
      <c r="K60" s="16" t="s">
        <v>8</v>
      </c>
      <c r="L60" s="2" t="str">
        <f>IF(Simulador!$B$2="sim","NÃO","SIM")</f>
        <v>NÃO</v>
      </c>
      <c r="M60" s="6">
        <f>IF(J60=Simulador!$B$1,1,0)</f>
        <v>0</v>
      </c>
      <c r="N60" s="2">
        <f>IF(M60=0,0,IF(Simulador!$B$4="mobilizado",1,0))</f>
        <v>0</v>
      </c>
      <c r="O60" s="411"/>
      <c r="S60" s="20"/>
      <c r="T60" s="20"/>
      <c r="U60" s="20"/>
    </row>
    <row r="61" spans="5:23" x14ac:dyDescent="0.25">
      <c r="E61" s="97"/>
      <c r="F61" s="2" t="str">
        <f t="shared" si="8"/>
        <v>Não MobilizadoAjudanteP+1</v>
      </c>
      <c r="G61" s="15" t="s">
        <v>13</v>
      </c>
      <c r="H61" s="1">
        <f>IF(L61="sim",VLOOKUP(G61,Valores_Dados!$B$11:$M$15,6,FALSE),0)</f>
        <v>0</v>
      </c>
      <c r="I61" s="1">
        <f>IF(L61="não",VLOOKUP(G61,Valores_Dados!$B$11:$M$15,11,FALSE),0)</f>
        <v>57.99</v>
      </c>
      <c r="J61" s="8" t="s">
        <v>296</v>
      </c>
      <c r="K61" s="16" t="s">
        <v>8</v>
      </c>
      <c r="L61" s="2" t="str">
        <f>IF(Simulador!$B$2="sim","NÃO","SIM")</f>
        <v>NÃO</v>
      </c>
      <c r="M61" s="6">
        <f>IF(J61=Simulador!$B$1,1,0)</f>
        <v>0</v>
      </c>
      <c r="N61" s="2">
        <f>IF(M61=0,0,IF(Simulador!$B$4="mobilizado",1,0))</f>
        <v>0</v>
      </c>
      <c r="O61" s="411"/>
      <c r="S61" s="20"/>
      <c r="T61" s="20"/>
      <c r="U61" s="20"/>
    </row>
    <row r="62" spans="5:23" x14ac:dyDescent="0.25">
      <c r="E62" s="97"/>
      <c r="F62" s="2" t="str">
        <f t="shared" si="8"/>
        <v>Não MobilizadoEncarregadoP+1</v>
      </c>
      <c r="G62" s="15" t="s">
        <v>24</v>
      </c>
      <c r="H62" s="1">
        <f>IF(L62="sim",VLOOKUP(G62,Valores_Dados!$B$11:$M$15,6,FALSE),0)</f>
        <v>0</v>
      </c>
      <c r="I62" s="1">
        <f>IF(L62="não",VLOOKUP(G62,Valores_Dados!$B$11:$M$15,11,FALSE),0)</f>
        <v>112.07</v>
      </c>
      <c r="J62" s="8" t="s">
        <v>296</v>
      </c>
      <c r="K62" s="16" t="s">
        <v>8</v>
      </c>
      <c r="L62" s="2" t="str">
        <f>IF(Simulador!$B$2="sim","NÃO","SIM")</f>
        <v>NÃO</v>
      </c>
      <c r="M62" s="6">
        <f>IF(J62=Simulador!$B$1,1,0)</f>
        <v>0</v>
      </c>
      <c r="N62" s="2">
        <f>IF(M62=0,0,IF(Simulador!$B$4="mobilizado",1,0))</f>
        <v>0</v>
      </c>
      <c r="O62" s="411"/>
      <c r="S62" s="20"/>
      <c r="T62" s="20"/>
      <c r="U62" s="20"/>
    </row>
    <row r="63" spans="5:23" x14ac:dyDescent="0.25">
      <c r="E63" s="97"/>
      <c r="F63" s="2" t="str">
        <f t="shared" si="8"/>
        <v>Não MobilizadoLíder de EquipeP+1</v>
      </c>
      <c r="G63" s="15" t="s">
        <v>11</v>
      </c>
      <c r="H63" s="1">
        <f>IF(L63="sim",VLOOKUP(G63,Valores_Dados!$B$11:$M$15,6,FALSE),0)</f>
        <v>0</v>
      </c>
      <c r="I63" s="1">
        <f>IF(L63="não",VLOOKUP(G63,Valores_Dados!$B$11:$M$15,11,FALSE),0)</f>
        <v>83.51</v>
      </c>
      <c r="J63" s="8" t="s">
        <v>296</v>
      </c>
      <c r="K63" s="16" t="s">
        <v>8</v>
      </c>
      <c r="L63" s="2" t="str">
        <f>IF(Simulador!$B$2="sim","NÃO","SIM")</f>
        <v>NÃO</v>
      </c>
      <c r="M63" s="6">
        <f>IF(J63=Simulador!$B$1,1,0)</f>
        <v>0</v>
      </c>
      <c r="N63" s="2">
        <f>IF(M63=0,0,IF(Simulador!$B$4="mobilizado",1,0))</f>
        <v>0</v>
      </c>
      <c r="O63" s="411"/>
      <c r="R63" s="20"/>
      <c r="S63" s="20"/>
      <c r="T63" s="20"/>
      <c r="U63" s="20"/>
      <c r="V63" s="20"/>
      <c r="W63" s="20"/>
    </row>
    <row r="64" spans="5:23" x14ac:dyDescent="0.25">
      <c r="E64" s="97"/>
      <c r="F64" s="2" t="str">
        <f t="shared" si="8"/>
        <v>Não MobilizadoTSTP+1</v>
      </c>
      <c r="G64" s="15" t="s">
        <v>275</v>
      </c>
      <c r="H64" s="1">
        <f>IF(L64="sim",VLOOKUP(G64,Valores_Dados!$B$11:$M$15,6,FALSE),0)</f>
        <v>0</v>
      </c>
      <c r="I64" s="1">
        <f>IF(L64="não",VLOOKUP(G64,Valores_Dados!$B$11:$M$15,11,FALSE),0)</f>
        <v>94.32</v>
      </c>
      <c r="J64" s="8" t="s">
        <v>296</v>
      </c>
      <c r="K64" s="16" t="s">
        <v>8</v>
      </c>
      <c r="L64" s="2" t="str">
        <f>IF(Simulador!$B$2="sim","NÃO","SIM")</f>
        <v>NÃO</v>
      </c>
      <c r="M64" s="6">
        <f>IF(J64=Simulador!$B$1,1,0)</f>
        <v>0</v>
      </c>
      <c r="N64" s="2">
        <f>IF(M64=0,0,IF(Simulador!$B$4="mobilizado",1,0))</f>
        <v>0</v>
      </c>
      <c r="O64" s="411"/>
      <c r="R64" s="20"/>
      <c r="S64" s="20"/>
      <c r="T64" s="20"/>
      <c r="U64" s="20"/>
      <c r="V64" s="20"/>
      <c r="W64" s="20"/>
    </row>
    <row r="65" spans="5:23" ht="8.25" customHeight="1" x14ac:dyDescent="0.25">
      <c r="E65" s="97"/>
      <c r="G65" s="17"/>
      <c r="H65" s="96"/>
      <c r="I65" s="96"/>
      <c r="J65" s="18"/>
      <c r="K65" s="19"/>
      <c r="L65" s="2"/>
      <c r="M65" s="2"/>
      <c r="N65" s="2"/>
    </row>
    <row r="66" spans="5:23" x14ac:dyDescent="0.25">
      <c r="E66" s="97"/>
      <c r="F66" s="2" t="str">
        <f t="shared" ref="F66:F70" si="9">CONCATENATE($G$40,$G66,J66)</f>
        <v>Não MobilizadoMontador de AndaimesMáximo</v>
      </c>
      <c r="G66" s="15" t="s">
        <v>10</v>
      </c>
      <c r="H66" s="1">
        <f>IF(L66="sim",VLOOKUP(G66,Valores_Dados!$B$11:$M$15,7,FALSE),0)</f>
        <v>0</v>
      </c>
      <c r="I66" s="1">
        <f>IF(L66="não",VLOOKUP(G66,Valores_Dados!$B$11:$N$15,12,FALSE),0)</f>
        <v>80.34</v>
      </c>
      <c r="J66" s="8" t="s">
        <v>5</v>
      </c>
      <c r="K66" s="16" t="s">
        <v>8</v>
      </c>
      <c r="L66" s="2" t="str">
        <f>IF(Simulador!$B$2="sim","NÃO","SIM")</f>
        <v>NÃO</v>
      </c>
      <c r="M66" s="6">
        <f>IF(J66=Simulador!$B$1,1,0)</f>
        <v>1</v>
      </c>
      <c r="N66" s="2">
        <f>IF(M66=0,0,IF(Simulador!$B$4="mobilizado",1,0))</f>
        <v>0</v>
      </c>
      <c r="O66" s="411"/>
      <c r="S66" s="20"/>
      <c r="T66" s="20"/>
      <c r="U66" s="20"/>
    </row>
    <row r="67" spans="5:23" x14ac:dyDescent="0.25">
      <c r="E67" s="97"/>
      <c r="F67" s="2" t="str">
        <f t="shared" si="9"/>
        <v>Não MobilizadoAjudanteMáximo</v>
      </c>
      <c r="G67" s="15" t="s">
        <v>13</v>
      </c>
      <c r="H67" s="1">
        <f>IF(L67="sim",VLOOKUP(G67,Valores_Dados!$B$11:$M$15,7,FALSE),0)</f>
        <v>0</v>
      </c>
      <c r="I67" s="1">
        <f>IF(L67="não",VLOOKUP(G67,Valores_Dados!$B$11:$N$15,12,FALSE),0)</f>
        <v>62.29</v>
      </c>
      <c r="J67" s="8" t="s">
        <v>5</v>
      </c>
      <c r="K67" s="16" t="s">
        <v>8</v>
      </c>
      <c r="L67" s="2" t="str">
        <f>IF(Simulador!$B$2="sim","NÃO","SIM")</f>
        <v>NÃO</v>
      </c>
      <c r="M67" s="6">
        <f>IF(J67=Simulador!$B$1,1,0)</f>
        <v>1</v>
      </c>
      <c r="N67" s="2">
        <f>IF(M67=0,0,IF(Simulador!$B$4="mobilizado",1,0))</f>
        <v>0</v>
      </c>
      <c r="O67" s="411"/>
      <c r="S67" s="20"/>
      <c r="T67" s="20"/>
      <c r="U67" s="20"/>
    </row>
    <row r="68" spans="5:23" x14ac:dyDescent="0.25">
      <c r="E68" s="97"/>
      <c r="F68" s="2" t="str">
        <f t="shared" si="9"/>
        <v>Não MobilizadoEncarregadoMáximo</v>
      </c>
      <c r="G68" s="15" t="s">
        <v>24</v>
      </c>
      <c r="H68" s="1">
        <f>IF(L68="sim",VLOOKUP(G68,Valores_Dados!$B$11:$M$15,7,FALSE),0)</f>
        <v>0</v>
      </c>
      <c r="I68" s="1">
        <f>IF(L68="não",VLOOKUP(G68,Valores_Dados!$B$11:$N$15,12,FALSE),0)</f>
        <v>120.37</v>
      </c>
      <c r="J68" s="8" t="s">
        <v>5</v>
      </c>
      <c r="K68" s="16" t="s">
        <v>8</v>
      </c>
      <c r="L68" s="2" t="str">
        <f>IF(Simulador!$B$2="sim","NÃO","SIM")</f>
        <v>NÃO</v>
      </c>
      <c r="M68" s="6">
        <f>IF(J68=Simulador!$B$1,1,0)</f>
        <v>1</v>
      </c>
      <c r="N68" s="2">
        <f>IF(M68=0,0,IF(Simulador!$B$4="mobilizado",1,0))</f>
        <v>0</v>
      </c>
      <c r="O68" s="411"/>
      <c r="S68" s="20"/>
      <c r="T68" s="20"/>
      <c r="U68" s="20"/>
    </row>
    <row r="69" spans="5:23" x14ac:dyDescent="0.25">
      <c r="E69" s="97"/>
      <c r="F69" s="2" t="str">
        <f t="shared" si="9"/>
        <v>Não MobilizadoLíder de EquipeMáximo</v>
      </c>
      <c r="G69" s="15" t="s">
        <v>11</v>
      </c>
      <c r="H69" s="1">
        <f>IF(L69="sim",VLOOKUP(G69,Valores_Dados!$B$11:$M$15,7,FALSE),0)</f>
        <v>0</v>
      </c>
      <c r="I69" s="1">
        <f>IF(L69="não",VLOOKUP(G69,Valores_Dados!$B$11:$N$15,12,FALSE),0)</f>
        <v>89.69</v>
      </c>
      <c r="J69" s="8" t="s">
        <v>5</v>
      </c>
      <c r="K69" s="16" t="s">
        <v>8</v>
      </c>
      <c r="L69" s="2" t="str">
        <f>IF(Simulador!$B$2="sim","NÃO","SIM")</f>
        <v>NÃO</v>
      </c>
      <c r="M69" s="6">
        <f>IF(J69=Simulador!$B$1,1,0)</f>
        <v>1</v>
      </c>
      <c r="N69" s="2">
        <f>IF(M69=0,0,IF(Simulador!$B$4="mobilizado",1,0))</f>
        <v>0</v>
      </c>
      <c r="O69" s="411"/>
      <c r="R69" s="20"/>
      <c r="S69" s="20"/>
      <c r="T69" s="20"/>
      <c r="U69" s="20"/>
      <c r="V69" s="20"/>
      <c r="W69" s="20"/>
    </row>
    <row r="70" spans="5:23" x14ac:dyDescent="0.25">
      <c r="E70" s="97"/>
      <c r="F70" s="2" t="str">
        <f t="shared" si="9"/>
        <v>Não MobilizadoTSTMáximo</v>
      </c>
      <c r="G70" s="15" t="s">
        <v>275</v>
      </c>
      <c r="H70" s="1">
        <f>IF(L70="sim",VLOOKUP(G70,Valores_Dados!$B$11:$M$15,7,FALSE),0)</f>
        <v>0</v>
      </c>
      <c r="I70" s="1">
        <f>IF(L70="não",VLOOKUP(G70,Valores_Dados!$B$11:$N$15,12,FALSE),0)</f>
        <v>101.3</v>
      </c>
      <c r="J70" s="8" t="s">
        <v>5</v>
      </c>
      <c r="K70" s="16" t="s">
        <v>8</v>
      </c>
      <c r="L70" s="2" t="str">
        <f>IF(Simulador!$B$2="sim","NÃO","SIM")</f>
        <v>NÃO</v>
      </c>
      <c r="M70" s="6">
        <f>IF(J70=Simulador!$B$1,1,0)</f>
        <v>1</v>
      </c>
      <c r="N70" s="2">
        <f>IF(M70=0,0,IF(Simulador!$B$4="mobilizado",1,0))</f>
        <v>0</v>
      </c>
      <c r="O70" s="411"/>
      <c r="R70" s="20"/>
      <c r="S70" s="20"/>
      <c r="T70" s="20"/>
      <c r="U70" s="20"/>
      <c r="V70" s="20"/>
      <c r="W70" s="20"/>
    </row>
    <row r="71" spans="5:23" x14ac:dyDescent="0.25">
      <c r="E71" s="97"/>
      <c r="L71" s="2"/>
      <c r="M71" s="2"/>
      <c r="N71" s="21"/>
      <c r="R71" s="20"/>
      <c r="S71" s="20"/>
      <c r="T71" s="20"/>
      <c r="U71" s="20"/>
      <c r="V71" s="20"/>
      <c r="W71" s="20"/>
    </row>
    <row r="72" spans="5:23" x14ac:dyDescent="0.25">
      <c r="E72" s="97"/>
      <c r="L72" s="2"/>
      <c r="M72" s="2"/>
      <c r="N72" s="2"/>
      <c r="R72" s="20"/>
      <c r="S72" s="20"/>
      <c r="T72" s="20"/>
      <c r="U72" s="20"/>
      <c r="V72" s="20"/>
      <c r="W72" s="20"/>
    </row>
    <row r="73" spans="5:23" x14ac:dyDescent="0.25">
      <c r="E73" s="97"/>
      <c r="L73" s="2"/>
      <c r="M73" s="2"/>
      <c r="N73" s="2"/>
    </row>
    <row r="74" spans="5:23" x14ac:dyDescent="0.25">
      <c r="E74" s="97"/>
      <c r="L74" s="2"/>
      <c r="M74" s="2"/>
      <c r="N74" s="2"/>
    </row>
    <row r="75" spans="5:23" x14ac:dyDescent="0.25">
      <c r="E75" s="97"/>
      <c r="L75" s="2"/>
      <c r="M75" s="2"/>
      <c r="N75" s="2"/>
    </row>
    <row r="76" spans="5:23" x14ac:dyDescent="0.25">
      <c r="E76" s="97"/>
      <c r="L76" s="2"/>
      <c r="M76" s="2"/>
      <c r="N76" s="2"/>
      <c r="T76" s="20"/>
      <c r="U76" s="20"/>
    </row>
    <row r="77" spans="5:23" x14ac:dyDescent="0.25">
      <c r="E77" s="97"/>
      <c r="L77" s="2"/>
      <c r="M77" s="2"/>
      <c r="N77" s="2"/>
      <c r="S77" s="20"/>
      <c r="T77" s="20"/>
      <c r="U77" s="20"/>
    </row>
    <row r="78" spans="5:23" x14ac:dyDescent="0.25">
      <c r="E78" s="97"/>
      <c r="L78" s="2"/>
      <c r="M78" s="2"/>
      <c r="N78" s="2"/>
      <c r="S78" s="20"/>
      <c r="T78" s="20"/>
      <c r="U78" s="20"/>
    </row>
    <row r="79" spans="5:23" x14ac:dyDescent="0.25">
      <c r="E79" s="97"/>
      <c r="L79" s="2"/>
      <c r="M79" s="2"/>
      <c r="N79" s="2"/>
      <c r="S79" s="20"/>
      <c r="T79" s="20"/>
      <c r="U79" s="20"/>
    </row>
    <row r="80" spans="5:23" ht="8.25" customHeight="1" x14ac:dyDescent="0.25">
      <c r="E80" s="97"/>
      <c r="L80" s="2"/>
      <c r="M80" s="2"/>
      <c r="N80" s="2"/>
    </row>
    <row r="81" spans="5:23" x14ac:dyDescent="0.25">
      <c r="E81" s="97"/>
      <c r="L81" s="2"/>
      <c r="M81" s="2"/>
      <c r="N81" s="2"/>
      <c r="S81" s="20"/>
      <c r="T81" s="20"/>
      <c r="U81" s="20"/>
    </row>
    <row r="82" spans="5:23" x14ac:dyDescent="0.25">
      <c r="E82" s="97"/>
      <c r="L82" s="2"/>
      <c r="M82" s="2"/>
      <c r="N82" s="2"/>
      <c r="S82" s="20"/>
      <c r="T82" s="20"/>
      <c r="U82" s="20"/>
    </row>
    <row r="83" spans="5:23" x14ac:dyDescent="0.25">
      <c r="E83" s="97"/>
      <c r="L83" s="2"/>
      <c r="M83" s="2"/>
      <c r="N83" s="2"/>
      <c r="S83" s="20"/>
      <c r="T83" s="20"/>
      <c r="U83" s="20"/>
    </row>
    <row r="84" spans="5:23" x14ac:dyDescent="0.25">
      <c r="E84" s="97"/>
      <c r="L84" s="2"/>
      <c r="M84" s="2"/>
      <c r="N84" s="2"/>
      <c r="S84" s="20"/>
      <c r="T84" s="20"/>
      <c r="U84" s="20"/>
    </row>
    <row r="85" spans="5:23" x14ac:dyDescent="0.25">
      <c r="E85" s="97"/>
      <c r="L85" s="2"/>
      <c r="M85" s="2"/>
      <c r="N85" s="2"/>
      <c r="S85" s="20"/>
      <c r="T85" s="20"/>
      <c r="U85" s="20"/>
    </row>
    <row r="86" spans="5:23" ht="8.25" customHeight="1" x14ac:dyDescent="0.25">
      <c r="E86" s="97"/>
      <c r="L86" s="2"/>
      <c r="M86" s="2"/>
      <c r="N86" s="2"/>
    </row>
    <row r="87" spans="5:23" x14ac:dyDescent="0.25">
      <c r="E87" s="97"/>
      <c r="L87" s="2"/>
      <c r="M87" s="2"/>
      <c r="N87" s="2"/>
      <c r="S87" s="20"/>
      <c r="T87" s="20"/>
      <c r="U87" s="20"/>
    </row>
    <row r="88" spans="5:23" x14ac:dyDescent="0.25">
      <c r="E88" s="97"/>
      <c r="L88" s="2"/>
      <c r="M88" s="2"/>
      <c r="N88" s="2"/>
      <c r="S88" s="20"/>
      <c r="T88" s="20"/>
      <c r="U88" s="20"/>
    </row>
    <row r="89" spans="5:23" x14ac:dyDescent="0.25">
      <c r="E89" s="97"/>
      <c r="L89" s="2"/>
      <c r="M89" s="2"/>
      <c r="N89" s="2"/>
      <c r="S89" s="20"/>
      <c r="T89" s="20"/>
      <c r="U89" s="20"/>
    </row>
    <row r="90" spans="5:23" x14ac:dyDescent="0.25">
      <c r="E90" s="97"/>
      <c r="L90" s="2"/>
      <c r="M90" s="2"/>
      <c r="N90" s="2"/>
      <c r="S90" s="20"/>
      <c r="T90" s="20"/>
      <c r="U90" s="20"/>
    </row>
    <row r="91" spans="5:23" x14ac:dyDescent="0.25">
      <c r="E91" s="97"/>
      <c r="L91" s="2"/>
      <c r="M91" s="2"/>
      <c r="N91" s="2"/>
      <c r="S91" s="20"/>
      <c r="T91" s="20"/>
      <c r="U91" s="20"/>
    </row>
    <row r="92" spans="5:23" ht="8.25" customHeight="1" x14ac:dyDescent="0.25">
      <c r="E92" s="97"/>
      <c r="L92" s="2"/>
      <c r="M92" s="2"/>
      <c r="N92" s="2"/>
    </row>
    <row r="93" spans="5:23" x14ac:dyDescent="0.25">
      <c r="E93" s="97"/>
      <c r="L93" s="2"/>
      <c r="M93" s="2"/>
      <c r="N93" s="2"/>
      <c r="S93" s="20"/>
      <c r="T93" s="20"/>
      <c r="U93" s="20"/>
    </row>
    <row r="94" spans="5:23" x14ac:dyDescent="0.25">
      <c r="E94" s="97"/>
      <c r="L94" s="2"/>
      <c r="M94" s="2"/>
      <c r="N94" s="2"/>
      <c r="S94" s="20"/>
      <c r="T94" s="20"/>
      <c r="U94" s="20"/>
    </row>
    <row r="95" spans="5:23" x14ac:dyDescent="0.25">
      <c r="E95" s="97"/>
      <c r="L95" s="2"/>
      <c r="M95" s="2"/>
      <c r="N95" s="2"/>
      <c r="S95" s="20"/>
      <c r="T95" s="20"/>
      <c r="U95" s="20"/>
    </row>
    <row r="96" spans="5:23" x14ac:dyDescent="0.25">
      <c r="E96" s="97"/>
      <c r="L96" s="2"/>
      <c r="M96" s="2"/>
      <c r="N96" s="2"/>
      <c r="R96" s="20"/>
      <c r="S96" s="20"/>
      <c r="T96" s="20"/>
      <c r="U96" s="20"/>
      <c r="V96" s="20"/>
      <c r="W96" s="20"/>
    </row>
    <row r="97" spans="5:23" x14ac:dyDescent="0.25">
      <c r="E97" s="97"/>
      <c r="L97" s="2"/>
      <c r="M97" s="2"/>
      <c r="N97" s="2"/>
      <c r="R97" s="20"/>
      <c r="S97" s="20"/>
      <c r="T97" s="20"/>
      <c r="U97" s="20"/>
      <c r="V97" s="20"/>
      <c r="W97" s="20"/>
    </row>
    <row r="98" spans="5:23" ht="8.25" customHeight="1" x14ac:dyDescent="0.25">
      <c r="E98" s="97"/>
      <c r="L98" s="2"/>
      <c r="M98" s="2"/>
      <c r="N98" s="2"/>
    </row>
    <row r="99" spans="5:23" x14ac:dyDescent="0.25">
      <c r="E99" s="97"/>
      <c r="L99" s="2"/>
      <c r="M99" s="2"/>
      <c r="N99" s="2"/>
      <c r="S99" s="20"/>
      <c r="T99" s="20"/>
      <c r="U99" s="20"/>
    </row>
    <row r="100" spans="5:23" x14ac:dyDescent="0.25">
      <c r="E100" s="97"/>
      <c r="L100" s="2"/>
      <c r="M100" s="2"/>
      <c r="N100" s="2"/>
      <c r="S100" s="20"/>
      <c r="T100" s="20"/>
      <c r="U100" s="20"/>
    </row>
    <row r="101" spans="5:23" x14ac:dyDescent="0.25">
      <c r="E101" s="97"/>
      <c r="L101" s="2"/>
      <c r="M101" s="2"/>
      <c r="N101" s="2"/>
      <c r="S101" s="20"/>
      <c r="T101" s="20"/>
      <c r="U101" s="20"/>
    </row>
    <row r="102" spans="5:23" x14ac:dyDescent="0.25">
      <c r="E102" s="97"/>
      <c r="L102" s="2"/>
      <c r="M102" s="2"/>
      <c r="N102" s="2"/>
      <c r="R102" s="20"/>
      <c r="S102" s="20"/>
      <c r="T102" s="20"/>
      <c r="U102" s="20"/>
      <c r="V102" s="20"/>
      <c r="W102" s="20"/>
    </row>
    <row r="103" spans="5:23" x14ac:dyDescent="0.25">
      <c r="E103" s="97"/>
      <c r="L103" s="2"/>
      <c r="M103" s="2"/>
      <c r="N103" s="2"/>
      <c r="R103" s="20"/>
      <c r="S103" s="20"/>
      <c r="T103" s="20"/>
      <c r="U103" s="20"/>
      <c r="V103" s="20"/>
      <c r="W103" s="20"/>
    </row>
    <row r="104" spans="5:23" x14ac:dyDescent="0.25">
      <c r="L104" s="2"/>
      <c r="M104" s="2"/>
      <c r="N104" s="2"/>
    </row>
    <row r="105" spans="5:23" x14ac:dyDescent="0.25">
      <c r="L105" s="2"/>
      <c r="M105" s="2"/>
      <c r="N105" s="2"/>
    </row>
    <row r="106" spans="5:23" x14ac:dyDescent="0.25">
      <c r="L106" s="2"/>
      <c r="M106" s="2"/>
      <c r="N106" s="2"/>
    </row>
    <row r="107" spans="5:23" x14ac:dyDescent="0.25">
      <c r="L107" s="2"/>
      <c r="M107" s="2"/>
      <c r="N107" s="2"/>
    </row>
    <row r="108" spans="5:23" x14ac:dyDescent="0.25">
      <c r="L108" s="2"/>
      <c r="M108" s="2"/>
      <c r="N108" s="2"/>
    </row>
    <row r="109" spans="5:23" x14ac:dyDescent="0.25">
      <c r="L109" s="2"/>
      <c r="M109" s="2"/>
      <c r="N109" s="2"/>
    </row>
    <row r="110" spans="5:23" x14ac:dyDescent="0.25">
      <c r="L110" s="2"/>
      <c r="M110" s="2"/>
      <c r="N110" s="2"/>
    </row>
    <row r="111" spans="5:23" x14ac:dyDescent="0.25">
      <c r="L111" s="2"/>
      <c r="M111" s="2"/>
      <c r="N111" s="2"/>
    </row>
    <row r="112" spans="5:23" x14ac:dyDescent="0.25">
      <c r="L112" s="2"/>
      <c r="M112" s="2"/>
      <c r="N112" s="2"/>
    </row>
    <row r="113" s="2" customFormat="1" x14ac:dyDescent="0.25"/>
    <row r="114" s="2" customFormat="1" x14ac:dyDescent="0.25"/>
  </sheetData>
  <mergeCells count="4">
    <mergeCell ref="G8:K8"/>
    <mergeCell ref="G40:K40"/>
    <mergeCell ref="G3:G6"/>
    <mergeCell ref="J3:J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55667-90CC-4F10-A24C-F3399454A0AF}">
  <dimension ref="A1:AI205"/>
  <sheetViews>
    <sheetView tabSelected="1" topLeftCell="A72" zoomScale="115" zoomScaleNormal="115" workbookViewId="0">
      <selection activeCell="B84" sqref="B84:G85"/>
    </sheetView>
  </sheetViews>
  <sheetFormatPr defaultColWidth="9.140625" defaultRowHeight="18" customHeight="1" x14ac:dyDescent="0.2"/>
  <cols>
    <col min="1" max="1" width="14.140625" style="140" bestFit="1" customWidth="1"/>
    <col min="2" max="2" width="21.5703125" style="140" bestFit="1" customWidth="1"/>
    <col min="3" max="3" width="10" style="140" bestFit="1" customWidth="1"/>
    <col min="4" max="4" width="16.7109375" style="140" bestFit="1" customWidth="1"/>
    <col min="5" max="5" width="10.85546875" style="140" bestFit="1" customWidth="1"/>
    <col min="6" max="6" width="12" style="140" bestFit="1" customWidth="1"/>
    <col min="7" max="7" width="20" style="140" bestFit="1" customWidth="1"/>
    <col min="8" max="8" width="13" style="140" bestFit="1" customWidth="1"/>
    <col min="9" max="9" width="13.85546875" style="140" bestFit="1" customWidth="1"/>
    <col min="10" max="10" width="14.140625" style="140" bestFit="1" customWidth="1"/>
    <col min="11" max="11" width="12.28515625" style="104" bestFit="1" customWidth="1"/>
    <col min="12" max="12" width="13.5703125" style="105" bestFit="1" customWidth="1"/>
    <col min="13" max="13" width="16.7109375" style="104" bestFit="1" customWidth="1"/>
    <col min="14" max="16" width="10" style="104" bestFit="1" customWidth="1"/>
    <col min="17" max="17" width="9" style="104" bestFit="1" customWidth="1"/>
    <col min="18" max="18" width="8.28515625" style="104" bestFit="1" customWidth="1"/>
    <col min="19" max="19" width="5.140625" style="104" bestFit="1" customWidth="1"/>
    <col min="20" max="20" width="8" style="104" bestFit="1" customWidth="1"/>
    <col min="21" max="21" width="11.85546875" style="104" bestFit="1" customWidth="1"/>
    <col min="22" max="22" width="13.85546875" style="104" bestFit="1" customWidth="1"/>
    <col min="23" max="23" width="4.28515625" style="104" bestFit="1" customWidth="1"/>
    <col min="24" max="24" width="7.140625" style="104" bestFit="1" customWidth="1"/>
    <col min="25" max="25" width="8.42578125" style="104" bestFit="1" customWidth="1"/>
    <col min="26" max="26" width="5" style="104" bestFit="1" customWidth="1"/>
    <col min="27" max="27" width="9.85546875" style="104" bestFit="1" customWidth="1"/>
    <col min="28" max="28" width="8.5703125" style="104" bestFit="1" customWidth="1"/>
    <col min="29" max="29" width="9.140625" style="104"/>
    <col min="30" max="30" width="18" style="104" bestFit="1" customWidth="1"/>
    <col min="31" max="31" width="17.85546875" style="104" bestFit="1" customWidth="1"/>
    <col min="32" max="32" width="13.85546875" style="104" bestFit="1" customWidth="1"/>
    <col min="33" max="16384" width="9.140625" style="104"/>
  </cols>
  <sheetData>
    <row r="1" spans="1:17" ht="18" customHeight="1" thickBot="1" x14ac:dyDescent="0.25">
      <c r="A1" s="138" t="s">
        <v>19</v>
      </c>
      <c r="B1" s="139" t="s">
        <v>5</v>
      </c>
      <c r="D1" s="145" t="s">
        <v>14</v>
      </c>
      <c r="E1" s="145" t="s">
        <v>18</v>
      </c>
      <c r="F1" s="146" t="s">
        <v>8</v>
      </c>
      <c r="G1" s="146" t="s">
        <v>108</v>
      </c>
      <c r="H1" s="146" t="s">
        <v>109</v>
      </c>
      <c r="I1" s="104"/>
      <c r="M1" s="146" t="s">
        <v>464</v>
      </c>
      <c r="N1" s="146" t="s">
        <v>373</v>
      </c>
      <c r="O1" s="146" t="s">
        <v>374</v>
      </c>
      <c r="P1" s="146" t="s">
        <v>375</v>
      </c>
      <c r="Q1" s="146" t="s">
        <v>463</v>
      </c>
    </row>
    <row r="2" spans="1:17" ht="23.25" thickBot="1" x14ac:dyDescent="0.25">
      <c r="A2" s="222" t="s">
        <v>292</v>
      </c>
      <c r="B2" s="141" t="s">
        <v>143</v>
      </c>
      <c r="D2" s="206" t="s">
        <v>10</v>
      </c>
      <c r="E2" s="147">
        <v>5</v>
      </c>
      <c r="F2" s="211">
        <f>IF(E2=0,"",
IF($B$2="não",IF($B$3="sim",VLOOKUP(CONCATENATE($B$4,$D2,$B$1),'Tabela Dados'!$F:$K,3,FALSE)*1.3,VLOOKUP(CONCATENATE($B$4,$D2,$B$1),'Tabela Dados'!$F:$K,3,FALSE))+$B$6,
IF($B$3="sim",VLOOKUP(CONCATENATE($B$4,$D2,$B$1),'Tabela Dados'!$F:$K,4,FALSE)*VLOOKUP(D2,'Tabela Dados'!$G:$P,10,FALSE),VLOOKUP(CONCATENATE($B$4,$D2,$B$1),'Tabela Dados'!$F:$K,4,FALSE)))+$B$6)</f>
        <v>84.02000000000001</v>
      </c>
      <c r="G2" s="212">
        <f>IF(E2=0,"",$E2*$F2*$B$17*8)</f>
        <v>581418.4</v>
      </c>
      <c r="H2" s="211">
        <f>IF(E2=0,"",$E2*$F2*$B$18*8)</f>
        <v>389852.80000000005</v>
      </c>
      <c r="I2" s="104"/>
      <c r="J2" s="319" t="s">
        <v>376</v>
      </c>
      <c r="K2" s="320" t="s">
        <v>377</v>
      </c>
      <c r="M2" s="206" t="s">
        <v>10</v>
      </c>
      <c r="N2" s="433">
        <f>F2</f>
        <v>84.02000000000001</v>
      </c>
      <c r="O2" s="434">
        <f>IFERROR(N2*1.75,"")</f>
        <v>147.03500000000003</v>
      </c>
      <c r="P2" s="434">
        <f>IFERROR(N2*2,"")</f>
        <v>168.04000000000002</v>
      </c>
      <c r="Q2" s="435">
        <f>IFERROR(N2*0.27,"")</f>
        <v>22.685400000000005</v>
      </c>
    </row>
    <row r="3" spans="1:17" ht="18" customHeight="1" thickBot="1" x14ac:dyDescent="0.25">
      <c r="A3" s="142" t="s">
        <v>291</v>
      </c>
      <c r="B3" s="143" t="s">
        <v>144</v>
      </c>
      <c r="D3" s="207" t="s">
        <v>13</v>
      </c>
      <c r="E3" s="148"/>
      <c r="F3" s="211" t="str">
        <f>IF(E3=0,"",
IF($B$2="não",IF($B$3="sim",VLOOKUP(CONCATENATE($B$4,$D3,$B$1),'Tabela Dados'!$F:$K,3,FALSE)*1.3,VLOOKUP(CONCATENATE($B$4,$D3,$B$1),'Tabela Dados'!$F:$K,3,FALSE))+$B$6,
IF($B$3="sim",VLOOKUP(CONCATENATE($B$4,$D3,$B$1),'Tabela Dados'!$F:$K,4,FALSE)*VLOOKUP(D3,'Tabela Dados'!$G:$P,10,FALSE),VLOOKUP(CONCATENATE($B$4,$D3,$B$1),'Tabela Dados'!$F:$K,4,FALSE)))+$B$6)</f>
        <v/>
      </c>
      <c r="G3" s="214" t="str">
        <f>IF(E3=0,"",$E3*$F3*$B$17*8)</f>
        <v/>
      </c>
      <c r="H3" s="213" t="str">
        <f>IF(E3=0,"",$E3*$F3*$B$18*8)</f>
        <v/>
      </c>
      <c r="I3" s="104"/>
      <c r="J3" s="315" t="s">
        <v>373</v>
      </c>
      <c r="K3" s="316">
        <f>F7</f>
        <v>88.695000000000007</v>
      </c>
      <c r="M3" s="207" t="s">
        <v>13</v>
      </c>
      <c r="N3" s="431" t="str">
        <f>F3</f>
        <v/>
      </c>
      <c r="O3" s="432" t="str">
        <f t="shared" ref="O3:O6" si="0">IFERROR(N3*1.75,"")</f>
        <v/>
      </c>
      <c r="P3" s="432" t="str">
        <f t="shared" ref="P3:P6" si="1">IFERROR(N3*2,"")</f>
        <v/>
      </c>
      <c r="Q3" s="317" t="str">
        <f t="shared" ref="Q3:Q6" si="2">IFERROR(N3*0.27,"")</f>
        <v/>
      </c>
    </row>
    <row r="4" spans="1:17" ht="18" customHeight="1" thickBot="1" x14ac:dyDescent="0.25">
      <c r="A4" s="144" t="s">
        <v>9</v>
      </c>
      <c r="B4" s="143" t="s">
        <v>285</v>
      </c>
      <c r="D4" s="207" t="s">
        <v>11</v>
      </c>
      <c r="E4" s="148">
        <v>1</v>
      </c>
      <c r="F4" s="211">
        <f>IF(E4=0,"",
IF($B$2="não",IF($B$3="sim",VLOOKUP(CONCATENATE($B$4,$D4,$B$1),'Tabela Dados'!$F:$K,3,FALSE)*1.3,VLOOKUP(CONCATENATE($B$4,$D4,$B$1),'Tabela Dados'!$F:$K,3,FALSE))+$B$6,
IF($B$3="sim",VLOOKUP(CONCATENATE($B$4,$D4,$B$1),'Tabela Dados'!$F:$K,4,FALSE)*VLOOKUP(D4,'Tabela Dados'!$G:$P,10,FALSE),VLOOKUP(CONCATENATE($B$4,$D4,$B$1),'Tabela Dados'!$F:$K,4,FALSE)))+$B$6)</f>
        <v>93.37</v>
      </c>
      <c r="G4" s="214">
        <f>IF(E4=0,"",$E4*$F4*$B$17*8)</f>
        <v>129224.08</v>
      </c>
      <c r="H4" s="213">
        <f>IF(E4=0,"",$E4*$F4*$B$18*8)</f>
        <v>86647.360000000001</v>
      </c>
      <c r="I4" s="104"/>
      <c r="J4" s="234" t="s">
        <v>374</v>
      </c>
      <c r="K4" s="317">
        <f>K3*1.75</f>
        <v>155.21625</v>
      </c>
      <c r="M4" s="207" t="s">
        <v>11</v>
      </c>
      <c r="N4" s="436">
        <f>F4</f>
        <v>93.37</v>
      </c>
      <c r="O4" s="437">
        <f t="shared" si="0"/>
        <v>163.39750000000001</v>
      </c>
      <c r="P4" s="437">
        <f t="shared" si="1"/>
        <v>186.74</v>
      </c>
      <c r="Q4" s="438">
        <f t="shared" si="2"/>
        <v>25.209900000000005</v>
      </c>
    </row>
    <row r="5" spans="1:17" ht="18" customHeight="1" thickBot="1" x14ac:dyDescent="0.25">
      <c r="A5" s="144" t="s">
        <v>386</v>
      </c>
      <c r="B5" s="141" t="s">
        <v>143</v>
      </c>
      <c r="D5" s="207" t="s">
        <v>24</v>
      </c>
      <c r="E5" s="148"/>
      <c r="F5" s="211" t="str">
        <f>IF(E5=0,"",
IF($B$2="não",IF($B$3="sim",VLOOKUP(CONCATENATE($B$4,$D5,$B$1),'Tabela Dados'!$F:$K,3,FALSE)*1.3,VLOOKUP(CONCATENATE($B$4,$D5,$B$1),'Tabela Dados'!$F:$K,3,FALSE))+$B$6,
IF($B$3="sim",VLOOKUP(CONCATENATE($B$4,$D5,$B$1),'Tabela Dados'!$F:$K,4,FALSE)*VLOOKUP(D5,'Tabela Dados'!$G:$P,10,FALSE),VLOOKUP(CONCATENATE($B$4,$D5,$B$1),'Tabela Dados'!$F:$K,4,FALSE)))+$B$6)</f>
        <v/>
      </c>
      <c r="G5" s="214" t="str">
        <f>IF(E5=0,"",$E5*$F5*$B$17*8)</f>
        <v/>
      </c>
      <c r="H5" s="213" t="str">
        <f>IF(E5=0,"",$E5*$F5*$B$18*8)</f>
        <v/>
      </c>
      <c r="I5" s="104"/>
      <c r="J5" s="235" t="s">
        <v>375</v>
      </c>
      <c r="K5" s="318">
        <f>K3*2</f>
        <v>177.39000000000001</v>
      </c>
      <c r="M5" s="207" t="s">
        <v>24</v>
      </c>
      <c r="N5" s="431" t="str">
        <f>F5</f>
        <v/>
      </c>
      <c r="O5" s="432" t="str">
        <f t="shared" si="0"/>
        <v/>
      </c>
      <c r="P5" s="432" t="str">
        <f t="shared" si="1"/>
        <v/>
      </c>
      <c r="Q5" s="317" t="str">
        <f t="shared" si="2"/>
        <v/>
      </c>
    </row>
    <row r="6" spans="1:17" ht="18" customHeight="1" thickBot="1" x14ac:dyDescent="0.25">
      <c r="A6" s="144" t="s">
        <v>387</v>
      </c>
      <c r="B6" s="375">
        <f>IF(B5="Sim",ROUND(12*30/(1-(HLOOKUP(B1,Valores_Dados!N3:R4,2,FALSE)+Valores_Dados!R1+Valores_Dados!T1))/176,2),0)</f>
        <v>3.68</v>
      </c>
      <c r="D6" s="208" t="s">
        <v>275</v>
      </c>
      <c r="E6" s="149"/>
      <c r="F6" s="211" t="str">
        <f>IF(E6=0,"",
IF($B$2="não",IF($B$3="sim",VLOOKUP(CONCATENATE($B$4,$D6,$B$1),'Tabela Dados'!$F:$K,3,FALSE)*1.3,VLOOKUP(CONCATENATE($B$4,$D6,$B$1),'Tabela Dados'!$F:$K,3,FALSE))+$B$6,
IF($B$3="sim",VLOOKUP(CONCATENATE($B$4,$D6,$B$1),'Tabela Dados'!$F:$K,4,FALSE)*VLOOKUP(D6,'Tabela Dados'!$G:$P,10,FALSE),VLOOKUP(CONCATENATE($B$4,$D6,$B$1),'Tabela Dados'!$F:$K,4,FALSE)))+$B$6)</f>
        <v/>
      </c>
      <c r="G6" s="216" t="str">
        <f>IF(E6=0,"",$E6*$F6*$B$17*8)</f>
        <v/>
      </c>
      <c r="H6" s="215" t="str">
        <f>IF(E6=0,"",$E6*$F6*$B$18*8)</f>
        <v/>
      </c>
      <c r="I6" s="104"/>
      <c r="J6" s="104"/>
      <c r="M6" s="442" t="s">
        <v>275</v>
      </c>
      <c r="N6" s="439" t="str">
        <f>F6</f>
        <v/>
      </c>
      <c r="O6" s="440" t="str">
        <f t="shared" si="0"/>
        <v/>
      </c>
      <c r="P6" s="440" t="str">
        <f t="shared" si="1"/>
        <v/>
      </c>
      <c r="Q6" s="441" t="str">
        <f t="shared" si="2"/>
        <v/>
      </c>
    </row>
    <row r="7" spans="1:17" ht="18" customHeight="1" thickBot="1" x14ac:dyDescent="0.25">
      <c r="A7" s="223"/>
      <c r="B7" s="223"/>
      <c r="D7" s="209" t="s">
        <v>293</v>
      </c>
      <c r="E7" s="210">
        <f>SUM(E2:E6)</f>
        <v>6</v>
      </c>
      <c r="F7" s="150">
        <f>AVERAGE(F2:F6)</f>
        <v>88.695000000000007</v>
      </c>
      <c r="G7" s="150">
        <f>SUM(G2:G6)</f>
        <v>710642.48</v>
      </c>
      <c r="H7" s="150">
        <f>SUM(H2:H6)</f>
        <v>476500.16000000003</v>
      </c>
      <c r="I7" s="104"/>
      <c r="J7" s="104"/>
    </row>
    <row r="8" spans="1:17" ht="18" customHeight="1" thickBot="1" x14ac:dyDescent="0.25">
      <c r="A8" s="339" t="s">
        <v>341</v>
      </c>
      <c r="B8" s="340">
        <f>IFERROR(ROUND((H80+H18)/J117,2),0)</f>
        <v>145.38999999999999</v>
      </c>
      <c r="D8" s="104"/>
      <c r="E8" s="104"/>
      <c r="F8" s="104"/>
      <c r="G8" s="104"/>
      <c r="H8" s="104"/>
      <c r="I8" s="104"/>
      <c r="J8" s="104"/>
      <c r="M8" s="146" t="s">
        <v>22</v>
      </c>
      <c r="N8" s="443" t="s">
        <v>466</v>
      </c>
      <c r="O8" s="443" t="s">
        <v>468</v>
      </c>
    </row>
    <row r="9" spans="1:17" ht="18" customHeight="1" thickBot="1" x14ac:dyDescent="0.25">
      <c r="A9" s="341" t="s">
        <v>342</v>
      </c>
      <c r="B9" s="342">
        <f>IFERROR(ROUND(SUM(H14:H15)/J117,2),0)</f>
        <v>83.3</v>
      </c>
      <c r="C9" s="104"/>
      <c r="D9" s="104"/>
      <c r="E9" s="352"/>
      <c r="F9" s="104"/>
      <c r="G9" s="104"/>
      <c r="H9" s="104"/>
      <c r="I9" s="104"/>
      <c r="J9" s="104"/>
      <c r="M9" s="206" t="s">
        <v>465</v>
      </c>
      <c r="N9" s="444" t="s">
        <v>467</v>
      </c>
      <c r="O9" s="444" t="s">
        <v>469</v>
      </c>
    </row>
    <row r="10" spans="1:17" ht="18" customHeight="1" thickBot="1" x14ac:dyDescent="0.25">
      <c r="A10" s="343" t="s">
        <v>343</v>
      </c>
      <c r="B10" s="344">
        <f>ROUND((H18)/E7/(B19/22),2)</f>
        <v>20675.509999999998</v>
      </c>
      <c r="C10" s="104"/>
      <c r="D10" s="104"/>
      <c r="E10" s="104"/>
      <c r="F10" s="104"/>
      <c r="G10" s="104"/>
      <c r="H10" s="104"/>
      <c r="I10" s="104"/>
      <c r="J10" s="104"/>
      <c r="M10" s="352"/>
    </row>
    <row r="11" spans="1:17" ht="18" customHeight="1" thickBot="1" x14ac:dyDescent="0.25">
      <c r="A11" s="341" t="s">
        <v>344</v>
      </c>
      <c r="B11" s="342">
        <f>ROUND(SUM(H14:H15)/E7/(B19/22),2)</f>
        <v>15061.79</v>
      </c>
      <c r="C11" s="352"/>
      <c r="D11" s="177"/>
      <c r="E11" s="177"/>
      <c r="F11" s="183" t="s">
        <v>340</v>
      </c>
      <c r="G11" s="184">
        <v>0</v>
      </c>
      <c r="I11" s="104"/>
    </row>
    <row r="12" spans="1:17" ht="18" customHeight="1" thickBot="1" x14ac:dyDescent="0.25">
      <c r="A12" s="224"/>
      <c r="B12" s="224"/>
      <c r="C12" s="104"/>
      <c r="D12" s="185" t="s">
        <v>22</v>
      </c>
      <c r="E12" s="186" t="s">
        <v>7</v>
      </c>
      <c r="F12" s="151" t="s">
        <v>18</v>
      </c>
      <c r="G12" s="186" t="s">
        <v>337</v>
      </c>
      <c r="H12" s="186" t="s">
        <v>298</v>
      </c>
      <c r="I12" s="186" t="s">
        <v>380</v>
      </c>
      <c r="J12" s="186" t="s">
        <v>381</v>
      </c>
      <c r="K12" s="186" t="s">
        <v>382</v>
      </c>
    </row>
    <row r="13" spans="1:17" ht="18" customHeight="1" thickBot="1" x14ac:dyDescent="0.25">
      <c r="A13" s="446" t="s">
        <v>302</v>
      </c>
      <c r="B13" s="447"/>
      <c r="C13" s="104"/>
      <c r="D13" s="187" t="s">
        <v>25</v>
      </c>
      <c r="E13" s="188" t="s">
        <v>26</v>
      </c>
      <c r="F13" s="189">
        <f>IF(B4="Mobilizado",0,E7)</f>
        <v>6</v>
      </c>
      <c r="G13" s="190">
        <f>IF(F13=0,0,ROUND((H14*0.055+H15*0.055)/F13,2))</f>
        <v>10882.14</v>
      </c>
      <c r="H13" s="191">
        <f>G13*F13</f>
        <v>65292.84</v>
      </c>
      <c r="I13" s="351"/>
      <c r="J13" s="351"/>
      <c r="K13" s="351"/>
    </row>
    <row r="14" spans="1:17" ht="18" customHeight="1" x14ac:dyDescent="0.2">
      <c r="A14" s="225" t="s">
        <v>303</v>
      </c>
      <c r="B14" s="204">
        <v>7</v>
      </c>
      <c r="C14" s="104"/>
      <c r="D14" s="192" t="s">
        <v>2</v>
      </c>
      <c r="E14" s="193" t="s">
        <v>26</v>
      </c>
      <c r="F14" s="194">
        <v>1</v>
      </c>
      <c r="G14" s="195">
        <f>ROUND(G7*(1-G11),2)</f>
        <v>710642.48</v>
      </c>
      <c r="H14" s="196">
        <f>G14*F14</f>
        <v>710642.48</v>
      </c>
      <c r="I14" s="196">
        <f>H14/$J$117</f>
        <v>49.864648757016845</v>
      </c>
      <c r="J14" s="351"/>
      <c r="K14" s="353">
        <f>H14/$H$18</f>
        <v>0.4360822914554513</v>
      </c>
    </row>
    <row r="15" spans="1:17" ht="18" customHeight="1" thickBot="1" x14ac:dyDescent="0.25">
      <c r="A15" s="226" t="s">
        <v>304</v>
      </c>
      <c r="B15" s="370">
        <v>2</v>
      </c>
      <c r="C15" s="104"/>
      <c r="D15" s="197" t="s">
        <v>6</v>
      </c>
      <c r="E15" s="198" t="s">
        <v>26</v>
      </c>
      <c r="F15" s="194">
        <v>1</v>
      </c>
      <c r="G15" s="195">
        <f>ROUND(H7*(1-G11),2)</f>
        <v>476500.16</v>
      </c>
      <c r="H15" s="196">
        <f>G15*F15</f>
        <v>476500.16</v>
      </c>
      <c r="I15" s="351"/>
      <c r="J15" s="196">
        <f>H15/$J$117</f>
        <v>33.435255813953489</v>
      </c>
      <c r="K15" s="353">
        <f>H15/$H$18</f>
        <v>0.29240199889498469</v>
      </c>
    </row>
    <row r="16" spans="1:17" ht="18" customHeight="1" thickBot="1" x14ac:dyDescent="0.25">
      <c r="A16" s="368" t="s">
        <v>305</v>
      </c>
      <c r="B16" s="369">
        <f>B15*1.5</f>
        <v>3</v>
      </c>
      <c r="D16" s="192" t="s">
        <v>0</v>
      </c>
      <c r="E16" s="193" t="s">
        <v>346</v>
      </c>
      <c r="F16" s="194">
        <v>1</v>
      </c>
      <c r="G16" s="195">
        <f>H80</f>
        <v>442463.73</v>
      </c>
      <c r="H16" s="196">
        <f>G16*F16</f>
        <v>442463.73</v>
      </c>
      <c r="I16" s="354"/>
      <c r="J16" s="354"/>
      <c r="K16" s="354"/>
    </row>
    <row r="17" spans="1:12" ht="18" customHeight="1" thickBot="1" x14ac:dyDescent="0.25">
      <c r="A17" s="362" t="s">
        <v>334</v>
      </c>
      <c r="B17" s="217">
        <f>IFERROR(IF(B4="Não Mobilizado",ROUNDUP((J117/(SUM(E2:E4)*B15*$B$14)),0)+3,ROUNDUP(J117/(SUM(E2:E4)*B15*$B$14),0)),"-")</f>
        <v>173</v>
      </c>
      <c r="D17" s="192" t="s">
        <v>470</v>
      </c>
      <c r="E17" s="193" t="s">
        <v>26</v>
      </c>
      <c r="F17" s="194"/>
      <c r="G17" s="195">
        <f>160*10</f>
        <v>1600</v>
      </c>
      <c r="H17" s="196">
        <f>G17*F17</f>
        <v>0</v>
      </c>
      <c r="I17" s="355"/>
      <c r="J17" s="356"/>
      <c r="K17" s="196">
        <f>SUM(I13:J16)</f>
        <v>83.299904570970341</v>
      </c>
    </row>
    <row r="18" spans="1:12" ht="18" customHeight="1" thickBot="1" x14ac:dyDescent="0.25">
      <c r="A18" s="365" t="s">
        <v>335</v>
      </c>
      <c r="B18" s="218">
        <f>IFERROR(IF(B4="Não Mobilizado",ROUNDUP((J117/(SUM(E2:E4)*B16*$B$14)),0)+2,ROUNDUP(J117/(SUM(E2:E4)*B16*$B$14),0)),"-")</f>
        <v>116</v>
      </c>
      <c r="D18" s="448" t="s">
        <v>338</v>
      </c>
      <c r="E18" s="448"/>
      <c r="F18" s="448"/>
      <c r="G18" s="448"/>
      <c r="H18" s="199">
        <f>SUM(H14:H17)</f>
        <v>1629606.3699999999</v>
      </c>
      <c r="I18" s="181"/>
    </row>
    <row r="19" spans="1:12" ht="18" customHeight="1" thickBot="1" x14ac:dyDescent="0.25">
      <c r="A19" s="363" t="s">
        <v>336</v>
      </c>
      <c r="B19" s="219">
        <f>SUM(B17:B18)</f>
        <v>289</v>
      </c>
      <c r="E19" s="287"/>
      <c r="G19" s="181"/>
      <c r="H19" s="181"/>
    </row>
    <row r="20" spans="1:12" ht="18" customHeight="1" thickBot="1" x14ac:dyDescent="0.25">
      <c r="A20" s="367" t="s">
        <v>333</v>
      </c>
      <c r="B20" s="366">
        <f>B19*8</f>
        <v>2312</v>
      </c>
      <c r="F20" s="181">
        <f>H20*0.1</f>
        <v>63486.787000000004</v>
      </c>
      <c r="G20" s="181"/>
      <c r="H20" s="181">
        <v>634867.87</v>
      </c>
      <c r="J20" s="181">
        <f>H20*0.6-F20</f>
        <v>317433.935</v>
      </c>
      <c r="K20" s="352"/>
      <c r="L20" s="445">
        <f>H20-J20-F20</f>
        <v>253947.14799999999</v>
      </c>
    </row>
    <row r="21" spans="1:12" ht="18" customHeight="1" x14ac:dyDescent="0.2">
      <c r="A21" s="362" t="s">
        <v>384</v>
      </c>
      <c r="B21" s="217">
        <f>B19*E7*8</f>
        <v>13872</v>
      </c>
      <c r="D21" s="345"/>
      <c r="G21" s="181"/>
      <c r="H21" s="181">
        <f>H20+H16</f>
        <v>1077331.6000000001</v>
      </c>
      <c r="J21" s="181"/>
    </row>
    <row r="22" spans="1:12" ht="18" customHeight="1" thickBot="1" x14ac:dyDescent="0.25">
      <c r="A22" s="363" t="s">
        <v>385</v>
      </c>
      <c r="B22" s="364">
        <f>IF(D80=0,'Tabela de preços por Item'!E386/3.2,D80)</f>
        <v>14251.428571428571</v>
      </c>
      <c r="H22" s="181"/>
      <c r="I22" s="181"/>
      <c r="J22" s="181"/>
      <c r="K22" s="352"/>
    </row>
    <row r="23" spans="1:12" ht="18" customHeight="1" thickBot="1" x14ac:dyDescent="0.25">
      <c r="I23" s="140">
        <f>90/2.5</f>
        <v>36</v>
      </c>
      <c r="J23" s="181"/>
      <c r="K23" s="104">
        <f>I23*4</f>
        <v>144</v>
      </c>
    </row>
    <row r="24" spans="1:12" ht="18" customHeight="1" thickBot="1" x14ac:dyDescent="0.25">
      <c r="A24" s="144" t="s">
        <v>19</v>
      </c>
      <c r="B24" s="200" t="s">
        <v>296</v>
      </c>
      <c r="C24" s="183" t="s">
        <v>340</v>
      </c>
      <c r="D24" s="184">
        <v>0</v>
      </c>
    </row>
    <row r="25" spans="1:12" ht="18" customHeight="1" thickBot="1" x14ac:dyDescent="0.25">
      <c r="A25" s="152" t="s">
        <v>22</v>
      </c>
      <c r="B25" s="152" t="s">
        <v>306</v>
      </c>
      <c r="C25" s="321" t="s">
        <v>7</v>
      </c>
      <c r="D25" s="152" t="s">
        <v>18</v>
      </c>
      <c r="E25" s="322" t="s">
        <v>356</v>
      </c>
      <c r="F25" s="322" t="s">
        <v>339</v>
      </c>
      <c r="G25" s="321" t="s">
        <v>297</v>
      </c>
      <c r="H25" s="321" t="s">
        <v>298</v>
      </c>
    </row>
    <row r="26" spans="1:12" ht="18" customHeight="1" x14ac:dyDescent="0.2">
      <c r="A26" s="331" t="str">
        <f>A85</f>
        <v>1.1</v>
      </c>
      <c r="B26" s="332" t="str">
        <f>B85</f>
        <v>Passarela Maior</v>
      </c>
      <c r="C26" s="323" t="s">
        <v>15</v>
      </c>
      <c r="D26" s="324">
        <f>VLOOKUP(A26,$A$85:$J$116,10,FALSE)</f>
        <v>14251.428571428571</v>
      </c>
      <c r="E26" s="325">
        <f>IF(D26=0,0,VLOOKUP(CONCATENATE("LOCAÇÃO",$B$24),'Tabela Dados'!$F$3:$H$6,3,0)*(1-$D$24))</f>
        <v>1.0308375000000001</v>
      </c>
      <c r="F26" s="324">
        <v>1</v>
      </c>
      <c r="G26" s="326">
        <f>ROUND(E26*D26*30,2)+'Tabela de preços por Item'!G366*Simulador!D82</f>
        <v>442463.73000000004</v>
      </c>
      <c r="H26" s="326">
        <f>ROUND(G26*F26,2)</f>
        <v>442463.73</v>
      </c>
    </row>
    <row r="27" spans="1:12" ht="18" customHeight="1" thickBot="1" x14ac:dyDescent="0.25">
      <c r="A27" s="333" t="s">
        <v>313</v>
      </c>
      <c r="B27" s="334" t="s">
        <v>348</v>
      </c>
      <c r="C27" s="327" t="s">
        <v>349</v>
      </c>
      <c r="D27" s="328">
        <f>IFERROR(H85*F85*G85,0)</f>
        <v>0</v>
      </c>
      <c r="E27" s="329">
        <f>IF(D27=0,0,(IF($B$24="padrão",'Tabela de preços por Item'!$L$468*3,IF(Simulador!$B$24="mínimo",'Tabela de preços por Item'!$K$468*3,'Tabela de preços por Item'!$M$468*3))/30)*(1-$D$24))</f>
        <v>0</v>
      </c>
      <c r="F27" s="328">
        <f>F26</f>
        <v>1</v>
      </c>
      <c r="G27" s="330">
        <f t="shared" ref="G27:G79" si="3">ROUND(E27*D27*30,2)</f>
        <v>0</v>
      </c>
      <c r="H27" s="330">
        <f t="shared" ref="H27:H79" si="4">ROUND(G27*F27,2)</f>
        <v>0</v>
      </c>
    </row>
    <row r="28" spans="1:12" ht="18" customHeight="1" x14ac:dyDescent="0.2">
      <c r="A28" s="331" t="str">
        <f>A86</f>
        <v>1.2</v>
      </c>
      <c r="B28" s="332">
        <f>B86</f>
        <v>0</v>
      </c>
      <c r="C28" s="323" t="s">
        <v>15</v>
      </c>
      <c r="D28" s="324">
        <f>VLOOKUP(A28,$A$85:$J$116,10,FALSE)</f>
        <v>0</v>
      </c>
      <c r="E28" s="325">
        <f>IF(D28=0,0,VLOOKUP(CONCATENATE("LOCAÇÃO",$B$24),'Tabela Dados'!$F$3:$H$6,3,0)*(1-$D$24))</f>
        <v>0</v>
      </c>
      <c r="F28" s="324">
        <v>1</v>
      </c>
      <c r="G28" s="326">
        <f>ROUND(E28*D28*30,2)+'Tabela de preços por Item'!G366*Simulador!E82</f>
        <v>0</v>
      </c>
      <c r="H28" s="326">
        <f t="shared" si="4"/>
        <v>0</v>
      </c>
    </row>
    <row r="29" spans="1:12" ht="18" customHeight="1" thickBot="1" x14ac:dyDescent="0.25">
      <c r="A29" s="333" t="str">
        <f>A28</f>
        <v>1.2</v>
      </c>
      <c r="B29" s="334" t="str">
        <f>B27</f>
        <v>Piso Extra</v>
      </c>
      <c r="C29" s="327" t="s">
        <v>349</v>
      </c>
      <c r="D29" s="328">
        <f>H86*F86*G86</f>
        <v>0</v>
      </c>
      <c r="E29" s="329">
        <f>IF(D29=0,0,(IF($B$24="padrão",'Tabela de preços por Item'!$L$468*3,IF(Simulador!$B$24="mínimo",'Tabela de preços por Item'!$K$468*3,'Tabela de preços por Item'!$M$468*3))/30)*(1-$D$24))</f>
        <v>0</v>
      </c>
      <c r="F29" s="328">
        <f>F28</f>
        <v>1</v>
      </c>
      <c r="G29" s="330">
        <f t="shared" si="3"/>
        <v>0</v>
      </c>
      <c r="H29" s="330">
        <f t="shared" si="4"/>
        <v>0</v>
      </c>
    </row>
    <row r="30" spans="1:12" ht="18" customHeight="1" x14ac:dyDescent="0.2">
      <c r="A30" s="331" t="str">
        <f>A87</f>
        <v>1.3</v>
      </c>
      <c r="B30" s="332">
        <f>B87</f>
        <v>0</v>
      </c>
      <c r="C30" s="323" t="s">
        <v>15</v>
      </c>
      <c r="D30" s="324">
        <f>VLOOKUP(A30,$A$85:$J$116,10,FALSE)</f>
        <v>0</v>
      </c>
      <c r="E30" s="325">
        <f>IF(D30=0,0,VLOOKUP(CONCATENATE("LOCAÇÃO",$B$24),'Tabela Dados'!$F$3:$H$6,3,0)*(1-$D$24))</f>
        <v>0</v>
      </c>
      <c r="F30" s="324">
        <v>1</v>
      </c>
      <c r="G30" s="326">
        <f t="shared" si="3"/>
        <v>0</v>
      </c>
      <c r="H30" s="326">
        <f t="shared" si="4"/>
        <v>0</v>
      </c>
    </row>
    <row r="31" spans="1:12" ht="18" customHeight="1" thickBot="1" x14ac:dyDescent="0.25">
      <c r="A31" s="333" t="str">
        <f>A30</f>
        <v>1.3</v>
      </c>
      <c r="B31" s="334" t="str">
        <f>B29</f>
        <v>Piso Extra</v>
      </c>
      <c r="C31" s="327" t="s">
        <v>349</v>
      </c>
      <c r="D31" s="328">
        <f>H87*F87*G87</f>
        <v>0</v>
      </c>
      <c r="E31" s="329">
        <f>IF(D31=0,0,(IF($B$24="padrão",'Tabela de preços por Item'!$L$468*3,IF(Simulador!$B$24="mínimo",'Tabela de preços por Item'!$K$468*3,'Tabela de preços por Item'!$M$468*3))/30)*(1-$D$24))</f>
        <v>0</v>
      </c>
      <c r="F31" s="328">
        <f>F30</f>
        <v>1</v>
      </c>
      <c r="G31" s="330">
        <f t="shared" si="3"/>
        <v>0</v>
      </c>
      <c r="H31" s="330">
        <f t="shared" si="4"/>
        <v>0</v>
      </c>
    </row>
    <row r="32" spans="1:12" ht="18" customHeight="1" x14ac:dyDescent="0.2">
      <c r="A32" s="331" t="str">
        <f>A88</f>
        <v>1.4</v>
      </c>
      <c r="B32" s="332">
        <f>B88</f>
        <v>0</v>
      </c>
      <c r="C32" s="323" t="s">
        <v>15</v>
      </c>
      <c r="D32" s="324">
        <f>VLOOKUP(A32,$A$85:$J$116,10,FALSE)</f>
        <v>0</v>
      </c>
      <c r="E32" s="325">
        <f>IF(D32=0,0,VLOOKUP(CONCATENATE("LOCAÇÃO",$B$24),'Tabela Dados'!$F$3:$H$6,3,0)*(1-$D$24))</f>
        <v>0</v>
      </c>
      <c r="F32" s="324">
        <v>1</v>
      </c>
      <c r="G32" s="326">
        <f t="shared" si="3"/>
        <v>0</v>
      </c>
      <c r="H32" s="326">
        <f t="shared" si="4"/>
        <v>0</v>
      </c>
    </row>
    <row r="33" spans="1:8" ht="18" customHeight="1" thickBot="1" x14ac:dyDescent="0.25">
      <c r="A33" s="333" t="str">
        <f>A32</f>
        <v>1.4</v>
      </c>
      <c r="B33" s="334" t="str">
        <f>B31</f>
        <v>Piso Extra</v>
      </c>
      <c r="C33" s="327" t="s">
        <v>349</v>
      </c>
      <c r="D33" s="328">
        <f>H88*F88*G88</f>
        <v>0</v>
      </c>
      <c r="E33" s="329">
        <f>IF(D33=0,0,(IF($B$24="padrão",'Tabela de preços por Item'!$L$468*3,IF(Simulador!$B$24="mínimo",'Tabela de preços por Item'!$K$468*3,'Tabela de preços por Item'!$M$468*3))/30)*(1-$D$24))</f>
        <v>0</v>
      </c>
      <c r="F33" s="328">
        <f>F32</f>
        <v>1</v>
      </c>
      <c r="G33" s="330">
        <f t="shared" si="3"/>
        <v>0</v>
      </c>
      <c r="H33" s="330">
        <f t="shared" si="4"/>
        <v>0</v>
      </c>
    </row>
    <row r="34" spans="1:8" ht="18" customHeight="1" x14ac:dyDescent="0.2">
      <c r="A34" s="331" t="str">
        <f>A89</f>
        <v>1.5</v>
      </c>
      <c r="B34" s="332">
        <f>B89</f>
        <v>0</v>
      </c>
      <c r="C34" s="323" t="s">
        <v>15</v>
      </c>
      <c r="D34" s="324">
        <f>VLOOKUP(A34,$A$85:$J$116,10,FALSE)</f>
        <v>0</v>
      </c>
      <c r="E34" s="325">
        <f>IF(D34=0,0,VLOOKUP(CONCATENATE("LOCAÇÃO",$B$24),'Tabela Dados'!$F$3:$H$6,3,0)*(1-$D$24))</f>
        <v>0</v>
      </c>
      <c r="F34" s="324">
        <v>1</v>
      </c>
      <c r="G34" s="326">
        <f t="shared" si="3"/>
        <v>0</v>
      </c>
      <c r="H34" s="326">
        <f t="shared" si="4"/>
        <v>0</v>
      </c>
    </row>
    <row r="35" spans="1:8" ht="18" customHeight="1" thickBot="1" x14ac:dyDescent="0.25">
      <c r="A35" s="333" t="str">
        <f>A34</f>
        <v>1.5</v>
      </c>
      <c r="B35" s="334" t="str">
        <f>B33</f>
        <v>Piso Extra</v>
      </c>
      <c r="C35" s="327" t="s">
        <v>349</v>
      </c>
      <c r="D35" s="328">
        <f>H89*F89*G89</f>
        <v>0</v>
      </c>
      <c r="E35" s="329">
        <f>IF(D35=0,0,(IF($B$24="padrão",'Tabela de preços por Item'!$L$468*3,IF(Simulador!$B$24="mínimo",'Tabela de preços por Item'!$K$468*3,'Tabela de preços por Item'!$M$468*3))/30)*(1-$D$24))</f>
        <v>0</v>
      </c>
      <c r="F35" s="328">
        <f>F34</f>
        <v>1</v>
      </c>
      <c r="G35" s="330">
        <f t="shared" si="3"/>
        <v>0</v>
      </c>
      <c r="H35" s="330">
        <f t="shared" si="4"/>
        <v>0</v>
      </c>
    </row>
    <row r="36" spans="1:8" ht="18" customHeight="1" x14ac:dyDescent="0.2">
      <c r="A36" s="331" t="str">
        <f>A90</f>
        <v>1.6</v>
      </c>
      <c r="B36" s="332">
        <f>B90</f>
        <v>0</v>
      </c>
      <c r="C36" s="323" t="s">
        <v>15</v>
      </c>
      <c r="D36" s="324">
        <f>VLOOKUP(A36,$A$85:$J$116,10,FALSE)</f>
        <v>0</v>
      </c>
      <c r="E36" s="325">
        <f>IF(D36=0,0,VLOOKUP(CONCATENATE("LOCAÇÃO",$B$24),'Tabela Dados'!$F$3:$H$6,3,0)*(1-$D$24))</f>
        <v>0</v>
      </c>
      <c r="F36" s="324">
        <v>1</v>
      </c>
      <c r="G36" s="326">
        <f t="shared" si="3"/>
        <v>0</v>
      </c>
      <c r="H36" s="326">
        <f t="shared" si="4"/>
        <v>0</v>
      </c>
    </row>
    <row r="37" spans="1:8" ht="18" customHeight="1" thickBot="1" x14ac:dyDescent="0.25">
      <c r="A37" s="333" t="str">
        <f>A36</f>
        <v>1.6</v>
      </c>
      <c r="B37" s="334" t="str">
        <f>B35</f>
        <v>Piso Extra</v>
      </c>
      <c r="C37" s="327" t="s">
        <v>349</v>
      </c>
      <c r="D37" s="328">
        <f>H90*F90*G90</f>
        <v>0</v>
      </c>
      <c r="E37" s="329">
        <f>IF(D37=0,0,(IF($B$24="padrão",'Tabela de preços por Item'!$L$468*3,IF(Simulador!$B$24="mínimo",'Tabela de preços por Item'!$K$468*3,'Tabela de preços por Item'!$M$468*3))/30)*(1-$D$24))</f>
        <v>0</v>
      </c>
      <c r="F37" s="328">
        <f>F36</f>
        <v>1</v>
      </c>
      <c r="G37" s="330">
        <f t="shared" si="3"/>
        <v>0</v>
      </c>
      <c r="H37" s="330">
        <f t="shared" si="4"/>
        <v>0</v>
      </c>
    </row>
    <row r="38" spans="1:8" ht="18" customHeight="1" x14ac:dyDescent="0.2">
      <c r="A38" s="331" t="str">
        <f>A91</f>
        <v>1.7</v>
      </c>
      <c r="B38" s="332">
        <f>B91</f>
        <v>0</v>
      </c>
      <c r="C38" s="323" t="s">
        <v>15</v>
      </c>
      <c r="D38" s="324">
        <f>VLOOKUP(A38,$A$85:$J$116,10,FALSE)</f>
        <v>0</v>
      </c>
      <c r="E38" s="325">
        <f>IF(D38=0,0,VLOOKUP(CONCATENATE("LOCAÇÃO",$B$24),'Tabela Dados'!$F$3:$H$6,3,0)*(1-$D$24))</f>
        <v>0</v>
      </c>
      <c r="F38" s="324">
        <v>1</v>
      </c>
      <c r="G38" s="326">
        <f t="shared" si="3"/>
        <v>0</v>
      </c>
      <c r="H38" s="326">
        <f t="shared" si="4"/>
        <v>0</v>
      </c>
    </row>
    <row r="39" spans="1:8" ht="18" customHeight="1" thickBot="1" x14ac:dyDescent="0.25">
      <c r="A39" s="333" t="str">
        <f>A38</f>
        <v>1.7</v>
      </c>
      <c r="B39" s="334" t="str">
        <f>B37</f>
        <v>Piso Extra</v>
      </c>
      <c r="C39" s="327" t="s">
        <v>349</v>
      </c>
      <c r="D39" s="328">
        <f>H91*F91*G91</f>
        <v>0</v>
      </c>
      <c r="E39" s="329">
        <f>IF(D39=0,0,(IF($B$24="padrão",'Tabela de preços por Item'!$L$468*3,IF(Simulador!$B$24="mínimo",'Tabela de preços por Item'!$K$468*3,'Tabela de preços por Item'!$M$468*3))/30)*(1-$D$24))</f>
        <v>0</v>
      </c>
      <c r="F39" s="328">
        <f>F38</f>
        <v>1</v>
      </c>
      <c r="G39" s="330">
        <f t="shared" si="3"/>
        <v>0</v>
      </c>
      <c r="H39" s="330">
        <f t="shared" si="4"/>
        <v>0</v>
      </c>
    </row>
    <row r="40" spans="1:8" ht="18" customHeight="1" x14ac:dyDescent="0.2">
      <c r="A40" s="331" t="str">
        <f>A92</f>
        <v>1.8</v>
      </c>
      <c r="B40" s="332">
        <f>B92</f>
        <v>0</v>
      </c>
      <c r="C40" s="323" t="s">
        <v>15</v>
      </c>
      <c r="D40" s="324">
        <f>VLOOKUP(A40,$A$85:$J$116,10,FALSE)</f>
        <v>0</v>
      </c>
      <c r="E40" s="325">
        <f>IF(D40=0,0,VLOOKUP(CONCATENATE("LOCAÇÃO",$B$24),'Tabela Dados'!$F$3:$H$6,3,0)*(1-$D$24))</f>
        <v>0</v>
      </c>
      <c r="F40" s="324">
        <v>1</v>
      </c>
      <c r="G40" s="326">
        <f t="shared" si="3"/>
        <v>0</v>
      </c>
      <c r="H40" s="326">
        <f t="shared" si="4"/>
        <v>0</v>
      </c>
    </row>
    <row r="41" spans="1:8" ht="18" customHeight="1" thickBot="1" x14ac:dyDescent="0.25">
      <c r="A41" s="333" t="str">
        <f>A40</f>
        <v>1.8</v>
      </c>
      <c r="B41" s="334" t="str">
        <f>B39</f>
        <v>Piso Extra</v>
      </c>
      <c r="C41" s="327" t="s">
        <v>349</v>
      </c>
      <c r="D41" s="328">
        <f>H92*F92*G92</f>
        <v>0</v>
      </c>
      <c r="E41" s="329">
        <f>IF(D41=0,0,(IF($B$24="padrão",'Tabela de preços por Item'!$L$468*3,IF(Simulador!$B$24="mínimo",'Tabela de preços por Item'!$K$468*3,'Tabela de preços por Item'!$M$468*3))/30)*(1-$D$24))</f>
        <v>0</v>
      </c>
      <c r="F41" s="328">
        <f>F40</f>
        <v>1</v>
      </c>
      <c r="G41" s="330">
        <f t="shared" si="3"/>
        <v>0</v>
      </c>
      <c r="H41" s="330">
        <f t="shared" si="4"/>
        <v>0</v>
      </c>
    </row>
    <row r="42" spans="1:8" ht="18" customHeight="1" x14ac:dyDescent="0.2">
      <c r="A42" s="331" t="str">
        <f>A93</f>
        <v>1.9</v>
      </c>
      <c r="B42" s="332">
        <f>B93</f>
        <v>0</v>
      </c>
      <c r="C42" s="323" t="s">
        <v>15</v>
      </c>
      <c r="D42" s="324">
        <f>VLOOKUP(A42,$A$85:$J$116,10,FALSE)</f>
        <v>0</v>
      </c>
      <c r="E42" s="325">
        <f>IF(D42=0,0,VLOOKUP(CONCATENATE("LOCAÇÃO",$B$24),'Tabela Dados'!$F$3:$H$6,3,0)*(1-$D$24))</f>
        <v>0</v>
      </c>
      <c r="F42" s="324">
        <v>1</v>
      </c>
      <c r="G42" s="326">
        <f t="shared" si="3"/>
        <v>0</v>
      </c>
      <c r="H42" s="326">
        <f t="shared" si="4"/>
        <v>0</v>
      </c>
    </row>
    <row r="43" spans="1:8" ht="18" customHeight="1" thickBot="1" x14ac:dyDescent="0.25">
      <c r="A43" s="333" t="str">
        <f>A42</f>
        <v>1.9</v>
      </c>
      <c r="B43" s="334" t="str">
        <f>B41</f>
        <v>Piso Extra</v>
      </c>
      <c r="C43" s="327" t="s">
        <v>349</v>
      </c>
      <c r="D43" s="328">
        <f>H93*F93*G93</f>
        <v>0</v>
      </c>
      <c r="E43" s="329">
        <f>IF(D43=0,0,(IF($B$24="padrão",'Tabela de preços por Item'!$L$468*3,IF(Simulador!$B$24="mínimo",'Tabela de preços por Item'!$K$468*3,'Tabela de preços por Item'!$M$468*3))/30)*(1-$D$24))</f>
        <v>0</v>
      </c>
      <c r="F43" s="328">
        <f>F42</f>
        <v>1</v>
      </c>
      <c r="G43" s="330">
        <f t="shared" si="3"/>
        <v>0</v>
      </c>
      <c r="H43" s="330">
        <f t="shared" si="4"/>
        <v>0</v>
      </c>
    </row>
    <row r="44" spans="1:8" ht="18" customHeight="1" x14ac:dyDescent="0.2">
      <c r="A44" s="331" t="str">
        <f>A94</f>
        <v>1.10</v>
      </c>
      <c r="B44" s="332">
        <f>B94</f>
        <v>0</v>
      </c>
      <c r="C44" s="323" t="s">
        <v>15</v>
      </c>
      <c r="D44" s="324">
        <f>VLOOKUP(A44,$A$85:$J$116,10,FALSE)</f>
        <v>0</v>
      </c>
      <c r="E44" s="325">
        <f>IF(D44=0,0,VLOOKUP(CONCATENATE("LOCAÇÃO",$B$24),'Tabela Dados'!$F$3:$H$6,3,0)*(1-$D$24))</f>
        <v>0</v>
      </c>
      <c r="F44" s="324">
        <v>1</v>
      </c>
      <c r="G44" s="326">
        <f t="shared" si="3"/>
        <v>0</v>
      </c>
      <c r="H44" s="326">
        <f t="shared" si="4"/>
        <v>0</v>
      </c>
    </row>
    <row r="45" spans="1:8" ht="18" customHeight="1" thickBot="1" x14ac:dyDescent="0.25">
      <c r="A45" s="333" t="str">
        <f>A44</f>
        <v>1.10</v>
      </c>
      <c r="B45" s="334" t="str">
        <f>B43</f>
        <v>Piso Extra</v>
      </c>
      <c r="C45" s="327" t="s">
        <v>349</v>
      </c>
      <c r="D45" s="328">
        <f>H94*F94*G94</f>
        <v>0</v>
      </c>
      <c r="E45" s="329">
        <f>IF(D45=0,0,(IF($B$24="padrão",'Tabela de preços por Item'!$L$468*3,IF(Simulador!$B$24="mínimo",'Tabela de preços por Item'!$K$468*3,'Tabela de preços por Item'!$M$468*3))/30)*(1-$D$24))</f>
        <v>0</v>
      </c>
      <c r="F45" s="328">
        <f>F44</f>
        <v>1</v>
      </c>
      <c r="G45" s="330">
        <f t="shared" si="3"/>
        <v>0</v>
      </c>
      <c r="H45" s="330">
        <f t="shared" si="4"/>
        <v>0</v>
      </c>
    </row>
    <row r="46" spans="1:8" ht="18" customHeight="1" x14ac:dyDescent="0.2">
      <c r="A46" s="331" t="s">
        <v>357</v>
      </c>
      <c r="B46" s="332">
        <f>B95</f>
        <v>0</v>
      </c>
      <c r="C46" s="323" t="s">
        <v>15</v>
      </c>
      <c r="D46" s="324">
        <f>VLOOKUP(A46,$A$85:$J$116,10,FALSE)</f>
        <v>0</v>
      </c>
      <c r="E46" s="325">
        <f>IF(D46=0,0,VLOOKUP(CONCATENATE("LOCAÇÃO",$B$24),'Tabela Dados'!$F$3:$H$6,3,0)*(1-$D$24))</f>
        <v>0</v>
      </c>
      <c r="F46" s="324">
        <v>1</v>
      </c>
      <c r="G46" s="326">
        <f t="shared" si="3"/>
        <v>0</v>
      </c>
      <c r="H46" s="326">
        <f t="shared" si="4"/>
        <v>0</v>
      </c>
    </row>
    <row r="47" spans="1:8" ht="18" customHeight="1" thickBot="1" x14ac:dyDescent="0.25">
      <c r="A47" s="333" t="s">
        <v>357</v>
      </c>
      <c r="B47" s="334" t="str">
        <f>B45</f>
        <v>Piso Extra</v>
      </c>
      <c r="C47" s="327" t="s">
        <v>349</v>
      </c>
      <c r="D47" s="328">
        <f>H95*F95*G95</f>
        <v>0</v>
      </c>
      <c r="E47" s="329">
        <f>IF(D47=0,0,(IF($B$24="padrão",'Tabela de preços por Item'!$L$468*3,IF(Simulador!$B$24="mínimo",'Tabela de preços por Item'!$K$468*3,'Tabela de preços por Item'!$M$468*3))/30)*(1-$D$24))</f>
        <v>0</v>
      </c>
      <c r="F47" s="328">
        <f>F46</f>
        <v>1</v>
      </c>
      <c r="G47" s="330">
        <f t="shared" si="3"/>
        <v>0</v>
      </c>
      <c r="H47" s="330">
        <f t="shared" si="4"/>
        <v>0</v>
      </c>
    </row>
    <row r="48" spans="1:8" ht="18" customHeight="1" x14ac:dyDescent="0.2">
      <c r="A48" s="331" t="s">
        <v>358</v>
      </c>
      <c r="B48" s="332">
        <f>B96</f>
        <v>0</v>
      </c>
      <c r="C48" s="323" t="s">
        <v>15</v>
      </c>
      <c r="D48" s="324">
        <f>VLOOKUP(A48,$A$85:$J$116,10,FALSE)</f>
        <v>0</v>
      </c>
      <c r="E48" s="325">
        <f>IF(D48=0,0,VLOOKUP(CONCATENATE("LOCAÇÃO",$B$24),'Tabela Dados'!$F$3:$H$6,3,0)*(1-$D$24))</f>
        <v>0</v>
      </c>
      <c r="F48" s="324">
        <v>1</v>
      </c>
      <c r="G48" s="326">
        <f t="shared" si="3"/>
        <v>0</v>
      </c>
      <c r="H48" s="326">
        <f t="shared" si="4"/>
        <v>0</v>
      </c>
    </row>
    <row r="49" spans="1:8" ht="18" customHeight="1" thickBot="1" x14ac:dyDescent="0.25">
      <c r="A49" s="333" t="str">
        <f>A48</f>
        <v>1.12</v>
      </c>
      <c r="B49" s="334" t="str">
        <f>B47</f>
        <v>Piso Extra</v>
      </c>
      <c r="C49" s="327" t="s">
        <v>349</v>
      </c>
      <c r="D49" s="335">
        <f>H96*F96*G96</f>
        <v>0</v>
      </c>
      <c r="E49" s="329">
        <f>IF(D49=0,0,(IF($B$24="padrão",'Tabela de preços por Item'!$L$468*3,IF(Simulador!$B$24="mínimo",'Tabela de preços por Item'!$K$468*3,'Tabela de preços por Item'!$M$468*3))/30)*(1-$D$24))</f>
        <v>0</v>
      </c>
      <c r="F49" s="328">
        <f>F48</f>
        <v>1</v>
      </c>
      <c r="G49" s="330">
        <f t="shared" si="3"/>
        <v>0</v>
      </c>
      <c r="H49" s="330">
        <f t="shared" si="4"/>
        <v>0</v>
      </c>
    </row>
    <row r="50" spans="1:8" ht="18" customHeight="1" x14ac:dyDescent="0.2">
      <c r="A50" s="331" t="s">
        <v>359</v>
      </c>
      <c r="B50" s="336">
        <f>B97</f>
        <v>0</v>
      </c>
      <c r="C50" s="323" t="s">
        <v>15</v>
      </c>
      <c r="D50" s="324">
        <f>VLOOKUP(A50,$A$85:$J$116,10,FALSE)</f>
        <v>0</v>
      </c>
      <c r="E50" s="325">
        <f>IF(D50=0,0,VLOOKUP(CONCATENATE("LOCAÇÃO",$B$24),'Tabela Dados'!$F$3:$H$6,3,0)*(1-$D$24))</f>
        <v>0</v>
      </c>
      <c r="F50" s="324">
        <v>1</v>
      </c>
      <c r="G50" s="326">
        <f t="shared" si="3"/>
        <v>0</v>
      </c>
      <c r="H50" s="326">
        <f t="shared" si="4"/>
        <v>0</v>
      </c>
    </row>
    <row r="51" spans="1:8" ht="18" customHeight="1" thickBot="1" x14ac:dyDescent="0.25">
      <c r="A51" s="333" t="str">
        <f>A50</f>
        <v>1.13</v>
      </c>
      <c r="B51" s="334" t="str">
        <f>B49</f>
        <v>Piso Extra</v>
      </c>
      <c r="C51" s="327" t="s">
        <v>349</v>
      </c>
      <c r="D51" s="335">
        <f>H97*F97*G97</f>
        <v>0</v>
      </c>
      <c r="E51" s="329">
        <f>IF(D51=0,0,(IF($B$24="padrão",'Tabela de preços por Item'!$L$468*3,IF(Simulador!$B$24="mínimo",'Tabela de preços por Item'!$K$468*3,'Tabela de preços por Item'!$M$468*3))/30)*(1-$D$24))</f>
        <v>0</v>
      </c>
      <c r="F51" s="328">
        <f>F50</f>
        <v>1</v>
      </c>
      <c r="G51" s="330">
        <f t="shared" si="3"/>
        <v>0</v>
      </c>
      <c r="H51" s="330">
        <f t="shared" si="4"/>
        <v>0</v>
      </c>
    </row>
    <row r="52" spans="1:8" ht="18" customHeight="1" x14ac:dyDescent="0.2">
      <c r="A52" s="331" t="s">
        <v>360</v>
      </c>
      <c r="B52" s="336">
        <f>B98</f>
        <v>0</v>
      </c>
      <c r="C52" s="323" t="s">
        <v>15</v>
      </c>
      <c r="D52" s="324">
        <f>VLOOKUP(A52,$A$85:$J$116,10,FALSE)</f>
        <v>0</v>
      </c>
      <c r="E52" s="325">
        <f>IF(D52=0,0,VLOOKUP(CONCATENATE("LOCAÇÃO",$B$24),'Tabela Dados'!$F$3:$H$6,3,0)*(1-$D$24))</f>
        <v>0</v>
      </c>
      <c r="F52" s="324">
        <v>1</v>
      </c>
      <c r="G52" s="326">
        <f t="shared" si="3"/>
        <v>0</v>
      </c>
      <c r="H52" s="326">
        <f t="shared" si="4"/>
        <v>0</v>
      </c>
    </row>
    <row r="53" spans="1:8" ht="18" customHeight="1" thickBot="1" x14ac:dyDescent="0.25">
      <c r="A53" s="333" t="str">
        <f>A52</f>
        <v>1.14</v>
      </c>
      <c r="B53" s="334" t="str">
        <f>B51</f>
        <v>Piso Extra</v>
      </c>
      <c r="C53" s="327" t="s">
        <v>349</v>
      </c>
      <c r="D53" s="335">
        <f>H98*F98*G98</f>
        <v>0</v>
      </c>
      <c r="E53" s="329">
        <f>IF(D53=0,0,(IF($B$24="padrão",'Tabela de preços por Item'!$L$468*3,IF(Simulador!$B$24="mínimo",'Tabela de preços por Item'!$K$468*3,'Tabela de preços por Item'!$M$468*3))/30)*(1-$D$24))</f>
        <v>0</v>
      </c>
      <c r="F53" s="328">
        <f>F52</f>
        <v>1</v>
      </c>
      <c r="G53" s="330">
        <f t="shared" si="3"/>
        <v>0</v>
      </c>
      <c r="H53" s="330">
        <f t="shared" si="4"/>
        <v>0</v>
      </c>
    </row>
    <row r="54" spans="1:8" ht="18" customHeight="1" x14ac:dyDescent="0.2">
      <c r="A54" s="331" t="s">
        <v>361</v>
      </c>
      <c r="B54" s="336">
        <f>B99</f>
        <v>0</v>
      </c>
      <c r="C54" s="323" t="s">
        <v>15</v>
      </c>
      <c r="D54" s="324">
        <f>VLOOKUP(A54,$A$85:$J$116,10,FALSE)</f>
        <v>0</v>
      </c>
      <c r="E54" s="325">
        <f>IF(D54=0,0,VLOOKUP(CONCATENATE("LOCAÇÃO",$B$24),'Tabela Dados'!$F$3:$H$6,3,0)*(1-$D$24))</f>
        <v>0</v>
      </c>
      <c r="F54" s="324">
        <v>1</v>
      </c>
      <c r="G54" s="326">
        <f t="shared" si="3"/>
        <v>0</v>
      </c>
      <c r="H54" s="326">
        <f t="shared" si="4"/>
        <v>0</v>
      </c>
    </row>
    <row r="55" spans="1:8" ht="18" customHeight="1" thickBot="1" x14ac:dyDescent="0.25">
      <c r="A55" s="333" t="str">
        <f>A54</f>
        <v>1.15</v>
      </c>
      <c r="B55" s="334" t="str">
        <f>B53</f>
        <v>Piso Extra</v>
      </c>
      <c r="C55" s="327" t="s">
        <v>349</v>
      </c>
      <c r="D55" s="335">
        <f>H99*F99*G99</f>
        <v>0</v>
      </c>
      <c r="E55" s="329">
        <f>IF(D55=0,0,(IF($B$24="padrão",'Tabela de preços por Item'!$L$468*3,IF(Simulador!$B$24="mínimo",'Tabela de preços por Item'!$K$468*3,'Tabela de preços por Item'!$M$468*3))/30)*(1-$D$24))</f>
        <v>0</v>
      </c>
      <c r="F55" s="328">
        <f>F54</f>
        <v>1</v>
      </c>
      <c r="G55" s="330">
        <f t="shared" si="3"/>
        <v>0</v>
      </c>
      <c r="H55" s="330">
        <f t="shared" si="4"/>
        <v>0</v>
      </c>
    </row>
    <row r="56" spans="1:8" ht="18" customHeight="1" x14ac:dyDescent="0.2">
      <c r="A56" s="331" t="s">
        <v>362</v>
      </c>
      <c r="B56" s="336">
        <f>B100</f>
        <v>0</v>
      </c>
      <c r="C56" s="323" t="s">
        <v>15</v>
      </c>
      <c r="D56" s="324">
        <f>VLOOKUP(A56,$A$85:$J$116,10,FALSE)</f>
        <v>0</v>
      </c>
      <c r="E56" s="325">
        <f>IF(D56=0,0,VLOOKUP(CONCATENATE("LOCAÇÃO",$B$24),'Tabela Dados'!$F$3:$H$6,3,0)*(1-$D$24))</f>
        <v>0</v>
      </c>
      <c r="F56" s="324">
        <v>1</v>
      </c>
      <c r="G56" s="326">
        <f t="shared" si="3"/>
        <v>0</v>
      </c>
      <c r="H56" s="326">
        <f t="shared" si="4"/>
        <v>0</v>
      </c>
    </row>
    <row r="57" spans="1:8" ht="18" customHeight="1" thickBot="1" x14ac:dyDescent="0.25">
      <c r="A57" s="333" t="str">
        <f>A56</f>
        <v>1.16</v>
      </c>
      <c r="B57" s="334" t="str">
        <f>B55</f>
        <v>Piso Extra</v>
      </c>
      <c r="C57" s="327" t="s">
        <v>349</v>
      </c>
      <c r="D57" s="335">
        <f>H100*F100*G100</f>
        <v>0</v>
      </c>
      <c r="E57" s="329">
        <f>IF(D57=0,0,(IF($B$24="padrão",'Tabela de preços por Item'!$L$468*3,IF(Simulador!$B$24="mínimo",'Tabela de preços por Item'!$K$468*3,'Tabela de preços por Item'!$M$468*3))/30)*(1-$D$24))</f>
        <v>0</v>
      </c>
      <c r="F57" s="328">
        <f>F56</f>
        <v>1</v>
      </c>
      <c r="G57" s="330">
        <f t="shared" si="3"/>
        <v>0</v>
      </c>
      <c r="H57" s="330">
        <f t="shared" si="4"/>
        <v>0</v>
      </c>
    </row>
    <row r="58" spans="1:8" ht="18" customHeight="1" x14ac:dyDescent="0.2">
      <c r="A58" s="331" t="s">
        <v>363</v>
      </c>
      <c r="B58" s="336">
        <f>B101</f>
        <v>0</v>
      </c>
      <c r="C58" s="323" t="s">
        <v>15</v>
      </c>
      <c r="D58" s="324">
        <f>VLOOKUP(A58,$A$85:$J$116,10,FALSE)</f>
        <v>0</v>
      </c>
      <c r="E58" s="325">
        <f>IF(D58=0,0,VLOOKUP(CONCATENATE("LOCAÇÃO",$B$24),'Tabela Dados'!$F$3:$H$6,3,0)*(1-$D$24))</f>
        <v>0</v>
      </c>
      <c r="F58" s="324">
        <v>1</v>
      </c>
      <c r="G58" s="326">
        <f t="shared" si="3"/>
        <v>0</v>
      </c>
      <c r="H58" s="326">
        <f t="shared" si="4"/>
        <v>0</v>
      </c>
    </row>
    <row r="59" spans="1:8" ht="18" customHeight="1" thickBot="1" x14ac:dyDescent="0.25">
      <c r="A59" s="333" t="str">
        <f>A58</f>
        <v>1.17</v>
      </c>
      <c r="B59" s="334" t="str">
        <f>B57</f>
        <v>Piso Extra</v>
      </c>
      <c r="C59" s="327" t="s">
        <v>349</v>
      </c>
      <c r="D59" s="335">
        <f>H101*F101*G101</f>
        <v>0</v>
      </c>
      <c r="E59" s="329">
        <f>IF(D59=0,0,(IF($B$24="padrão",'Tabela de preços por Item'!$L$468*3,IF(Simulador!$B$24="mínimo",'Tabela de preços por Item'!$K$468*3,'Tabela de preços por Item'!$M$468*3))/30)*(1-$D$24))</f>
        <v>0</v>
      </c>
      <c r="F59" s="328">
        <f>F58</f>
        <v>1</v>
      </c>
      <c r="G59" s="330">
        <f t="shared" si="3"/>
        <v>0</v>
      </c>
      <c r="H59" s="330">
        <f t="shared" si="4"/>
        <v>0</v>
      </c>
    </row>
    <row r="60" spans="1:8" ht="18" customHeight="1" x14ac:dyDescent="0.2">
      <c r="A60" s="331" t="s">
        <v>364</v>
      </c>
      <c r="B60" s="336">
        <f>B102</f>
        <v>0</v>
      </c>
      <c r="C60" s="323" t="s">
        <v>15</v>
      </c>
      <c r="D60" s="324">
        <f>VLOOKUP(A60,$A$85:$J$116,10,FALSE)</f>
        <v>0</v>
      </c>
      <c r="E60" s="325">
        <f>IF(D60=0,0,VLOOKUP(CONCATENATE("LOCAÇÃO",$B$24),'Tabela Dados'!$F$3:$H$6,3,0)*(1-$D$24))</f>
        <v>0</v>
      </c>
      <c r="F60" s="324">
        <v>1</v>
      </c>
      <c r="G60" s="326">
        <f t="shared" si="3"/>
        <v>0</v>
      </c>
      <c r="H60" s="326">
        <f t="shared" si="4"/>
        <v>0</v>
      </c>
    </row>
    <row r="61" spans="1:8" ht="18" customHeight="1" thickBot="1" x14ac:dyDescent="0.25">
      <c r="A61" s="333" t="str">
        <f>A60</f>
        <v>1.18</v>
      </c>
      <c r="B61" s="334" t="str">
        <f>B59</f>
        <v>Piso Extra</v>
      </c>
      <c r="C61" s="327" t="s">
        <v>349</v>
      </c>
      <c r="D61" s="335">
        <f>H102*F102*G102</f>
        <v>0</v>
      </c>
      <c r="E61" s="329">
        <f>IF(D61=0,0,(IF($B$24="padrão",'Tabela de preços por Item'!$L$468*3,IF(Simulador!$B$24="mínimo",'Tabela de preços por Item'!$K$468*3,'Tabela de preços por Item'!$M$468*3))/30)*(1-$D$24))</f>
        <v>0</v>
      </c>
      <c r="F61" s="328">
        <f>F60</f>
        <v>1</v>
      </c>
      <c r="G61" s="330">
        <f t="shared" si="3"/>
        <v>0</v>
      </c>
      <c r="H61" s="330">
        <f t="shared" si="4"/>
        <v>0</v>
      </c>
    </row>
    <row r="62" spans="1:8" ht="18" customHeight="1" x14ac:dyDescent="0.2">
      <c r="A62" s="331" t="s">
        <v>365</v>
      </c>
      <c r="B62" s="336">
        <f>B103</f>
        <v>0</v>
      </c>
      <c r="C62" s="323" t="s">
        <v>15</v>
      </c>
      <c r="D62" s="324">
        <f>VLOOKUP(A62,$A$85:$J$116,10,FALSE)</f>
        <v>0</v>
      </c>
      <c r="E62" s="325">
        <f>IF(D62=0,0,VLOOKUP(CONCATENATE("LOCAÇÃO",$B$24),'Tabela Dados'!$F$3:$H$6,3,0)*(1-$D$24))</f>
        <v>0</v>
      </c>
      <c r="F62" s="324">
        <v>1</v>
      </c>
      <c r="G62" s="326">
        <f t="shared" si="3"/>
        <v>0</v>
      </c>
      <c r="H62" s="326">
        <f t="shared" si="4"/>
        <v>0</v>
      </c>
    </row>
    <row r="63" spans="1:8" ht="18" customHeight="1" thickBot="1" x14ac:dyDescent="0.25">
      <c r="A63" s="333" t="str">
        <f>A62</f>
        <v>1.19</v>
      </c>
      <c r="B63" s="334" t="str">
        <f>B61</f>
        <v>Piso Extra</v>
      </c>
      <c r="C63" s="327" t="s">
        <v>349</v>
      </c>
      <c r="D63" s="335">
        <f>H103*F103*G103</f>
        <v>0</v>
      </c>
      <c r="E63" s="329">
        <f>IF(D63=0,0,(IF($B$24="padrão",'Tabela de preços por Item'!$L$468*3,IF(Simulador!$B$24="mínimo",'Tabela de preços por Item'!$K$468*3,'Tabela de preços por Item'!$M$468*3))/30)*(1-$D$24))</f>
        <v>0</v>
      </c>
      <c r="F63" s="328">
        <f>F62</f>
        <v>1</v>
      </c>
      <c r="G63" s="330">
        <f t="shared" si="3"/>
        <v>0</v>
      </c>
      <c r="H63" s="330">
        <f t="shared" si="4"/>
        <v>0</v>
      </c>
    </row>
    <row r="64" spans="1:8" ht="18" customHeight="1" x14ac:dyDescent="0.2">
      <c r="A64" s="331" t="s">
        <v>366</v>
      </c>
      <c r="B64" s="336">
        <f>B104</f>
        <v>0</v>
      </c>
      <c r="C64" s="323" t="s">
        <v>15</v>
      </c>
      <c r="D64" s="324">
        <f>VLOOKUP(A64,$A$85:$J$116,10,FALSE)</f>
        <v>0</v>
      </c>
      <c r="E64" s="325">
        <f>IF(D64=0,0,VLOOKUP(CONCATENATE("LOCAÇÃO",$B$24),'Tabela Dados'!$F$3:$H$6,3,0)*(1-$D$24))</f>
        <v>0</v>
      </c>
      <c r="F64" s="324">
        <v>1</v>
      </c>
      <c r="G64" s="326">
        <f t="shared" si="3"/>
        <v>0</v>
      </c>
      <c r="H64" s="326">
        <f t="shared" si="4"/>
        <v>0</v>
      </c>
    </row>
    <row r="65" spans="1:8" ht="18" customHeight="1" thickBot="1" x14ac:dyDescent="0.25">
      <c r="A65" s="333" t="str">
        <f>A64</f>
        <v>1.20</v>
      </c>
      <c r="B65" s="334" t="str">
        <f>B63</f>
        <v>Piso Extra</v>
      </c>
      <c r="C65" s="327" t="s">
        <v>349</v>
      </c>
      <c r="D65" s="335">
        <f>H104*F104*G104</f>
        <v>0</v>
      </c>
      <c r="E65" s="329">
        <f>IF(D65=0,0,(IF($B$24="padrão",'Tabela de preços por Item'!$L$468*3,IF(Simulador!$B$24="mínimo",'Tabela de preços por Item'!$K$468*3,'Tabela de preços por Item'!$M$468*3))/30)*(1-$D$24))</f>
        <v>0</v>
      </c>
      <c r="F65" s="328">
        <f>F64</f>
        <v>1</v>
      </c>
      <c r="G65" s="330">
        <f t="shared" si="3"/>
        <v>0</v>
      </c>
      <c r="H65" s="330">
        <f t="shared" si="4"/>
        <v>0</v>
      </c>
    </row>
    <row r="66" spans="1:8" ht="18" customHeight="1" x14ac:dyDescent="0.2">
      <c r="A66" s="331" t="s">
        <v>378</v>
      </c>
      <c r="B66" s="336">
        <f>B105</f>
        <v>0</v>
      </c>
      <c r="C66" s="323" t="s">
        <v>15</v>
      </c>
      <c r="D66" s="324">
        <f>VLOOKUP(A66,$A$85:$J$116,10,FALSE)</f>
        <v>0</v>
      </c>
      <c r="E66" s="325">
        <f>IF(D66=0,0,VLOOKUP(CONCATENATE("LOCAÇÃO",$B$24),'Tabela Dados'!$F$3:$H$6,3,0)*(1-$D$24))</f>
        <v>0</v>
      </c>
      <c r="F66" s="324">
        <v>1</v>
      </c>
      <c r="G66" s="326">
        <f t="shared" ref="G66:G69" si="5">ROUND(E66*D66*30,2)</f>
        <v>0</v>
      </c>
      <c r="H66" s="326">
        <f t="shared" ref="H66:H69" si="6">ROUND(G66*F66,2)</f>
        <v>0</v>
      </c>
    </row>
    <row r="67" spans="1:8" ht="18" customHeight="1" thickBot="1" x14ac:dyDescent="0.25">
      <c r="A67" s="333" t="str">
        <f>A66</f>
        <v>1.21</v>
      </c>
      <c r="B67" s="334" t="str">
        <f>B65</f>
        <v>Piso Extra</v>
      </c>
      <c r="C67" s="327" t="s">
        <v>349</v>
      </c>
      <c r="D67" s="335">
        <f>H105*F105*G105</f>
        <v>0</v>
      </c>
      <c r="E67" s="329">
        <f>IF(D67=0,0,(IF($B$24="padrão",'Tabela de preços por Item'!$L$468*3,IF(Simulador!$B$24="mínimo",'Tabela de preços por Item'!$K$468*3,'Tabela de preços por Item'!$M$468*3))/30)*(1-$D$24))</f>
        <v>0</v>
      </c>
      <c r="F67" s="328">
        <f>F66</f>
        <v>1</v>
      </c>
      <c r="G67" s="330">
        <f t="shared" si="5"/>
        <v>0</v>
      </c>
      <c r="H67" s="330">
        <f t="shared" si="6"/>
        <v>0</v>
      </c>
    </row>
    <row r="68" spans="1:8" ht="18" customHeight="1" x14ac:dyDescent="0.2">
      <c r="A68" s="331" t="s">
        <v>379</v>
      </c>
      <c r="B68" s="336">
        <f>B106</f>
        <v>0</v>
      </c>
      <c r="C68" s="323" t="s">
        <v>15</v>
      </c>
      <c r="D68" s="324">
        <f>VLOOKUP(A68,$A$85:$J$116,10,FALSE)</f>
        <v>0</v>
      </c>
      <c r="E68" s="325">
        <f>IF(D68=0,0,VLOOKUP(CONCATENATE("LOCAÇÃO",$B$24),'Tabela Dados'!$F$3:$H$6,3,0)*(1-$D$24))</f>
        <v>0</v>
      </c>
      <c r="F68" s="324">
        <v>1</v>
      </c>
      <c r="G68" s="326">
        <f t="shared" si="5"/>
        <v>0</v>
      </c>
      <c r="H68" s="326">
        <f t="shared" si="6"/>
        <v>0</v>
      </c>
    </row>
    <row r="69" spans="1:8" ht="18" customHeight="1" thickBot="1" x14ac:dyDescent="0.25">
      <c r="A69" s="333" t="str">
        <f>A68</f>
        <v>1.22</v>
      </c>
      <c r="B69" s="334" t="str">
        <f>B67</f>
        <v>Piso Extra</v>
      </c>
      <c r="C69" s="327" t="s">
        <v>349</v>
      </c>
      <c r="D69" s="335">
        <f>H106*F106*G106</f>
        <v>0</v>
      </c>
      <c r="E69" s="329">
        <f>IF(D69=0,0,(IF($B$24="padrão",'Tabela de preços por Item'!$L$468*3,IF(Simulador!$B$24="mínimo",'Tabela de preços por Item'!$K$468*3,'Tabela de preços por Item'!$M$468*3))/30)*(1-$D$24))</f>
        <v>0</v>
      </c>
      <c r="F69" s="328">
        <f>F68</f>
        <v>1</v>
      </c>
      <c r="G69" s="330">
        <f t="shared" si="5"/>
        <v>0</v>
      </c>
      <c r="H69" s="330">
        <f t="shared" si="6"/>
        <v>0</v>
      </c>
    </row>
    <row r="70" spans="1:8" ht="18" customHeight="1" x14ac:dyDescent="0.2">
      <c r="A70" s="331" t="s">
        <v>326</v>
      </c>
      <c r="B70" s="336" t="str">
        <f>CONCATENATE(B107," - ",C108)</f>
        <v>Tanque Original - Torre Externa</v>
      </c>
      <c r="C70" s="323" t="s">
        <v>15</v>
      </c>
      <c r="D70" s="324">
        <f>J108</f>
        <v>0</v>
      </c>
      <c r="E70" s="325">
        <f>IF(D70=0,0,VLOOKUP(CONCATENATE("LOCAÇÃO",$B$24),'Tabela Dados'!$F$3:$H$6,3,0)*(1-$D$24))</f>
        <v>0</v>
      </c>
      <c r="F70" s="324">
        <v>1</v>
      </c>
      <c r="G70" s="326">
        <f t="shared" si="3"/>
        <v>0</v>
      </c>
      <c r="H70" s="326">
        <f t="shared" si="4"/>
        <v>0</v>
      </c>
    </row>
    <row r="71" spans="1:8" ht="18" customHeight="1" thickBot="1" x14ac:dyDescent="0.25">
      <c r="A71" s="333" t="str">
        <f>A70</f>
        <v>2.1</v>
      </c>
      <c r="B71" s="334" t="str">
        <f>B65</f>
        <v>Piso Extra</v>
      </c>
      <c r="C71" s="327" t="s">
        <v>349</v>
      </c>
      <c r="D71" s="335">
        <f>IF(D70=0,0,F108*G108*H108*D108)</f>
        <v>0</v>
      </c>
      <c r="E71" s="329">
        <f>IF(D71=0,0,(IF($B$24="padrão",'Tabela de preços por Item'!$L$468*3,IF(Simulador!$B$24="mínimo",'Tabela de preços por Item'!$K$468*3,'Tabela de preços por Item'!$M$468*3))/30)*(1-$D$24))</f>
        <v>0</v>
      </c>
      <c r="F71" s="328">
        <f>F70</f>
        <v>1</v>
      </c>
      <c r="G71" s="330">
        <f t="shared" si="3"/>
        <v>0</v>
      </c>
      <c r="H71" s="330">
        <f t="shared" si="4"/>
        <v>0</v>
      </c>
    </row>
    <row r="72" spans="1:8" ht="18" customHeight="1" x14ac:dyDescent="0.2">
      <c r="A72" s="337" t="s">
        <v>327</v>
      </c>
      <c r="B72" s="332" t="str">
        <f>CONCATENATE(B109," - ",C110)</f>
        <v>Tanque Original - Torre Externa</v>
      </c>
      <c r="C72" s="323" t="s">
        <v>15</v>
      </c>
      <c r="D72" s="324">
        <f>J110</f>
        <v>0</v>
      </c>
      <c r="E72" s="325">
        <f>IF(D72=0,0,VLOOKUP(CONCATENATE("LOCAÇÃO",$B$24),'Tabela Dados'!$F$3:$H$6,3,0)*(1-$D$24))</f>
        <v>0</v>
      </c>
      <c r="F72" s="324">
        <v>1</v>
      </c>
      <c r="G72" s="326">
        <f t="shared" si="3"/>
        <v>0</v>
      </c>
      <c r="H72" s="326">
        <f t="shared" si="4"/>
        <v>0</v>
      </c>
    </row>
    <row r="73" spans="1:8" ht="18" customHeight="1" thickBot="1" x14ac:dyDescent="0.25">
      <c r="A73" s="338" t="str">
        <f>A72</f>
        <v>2.2</v>
      </c>
      <c r="B73" s="334" t="str">
        <f>B71</f>
        <v>Piso Extra</v>
      </c>
      <c r="C73" s="327" t="s">
        <v>349</v>
      </c>
      <c r="D73" s="335">
        <f>IF(D72=0,0,F110*G110*H110*D110)</f>
        <v>0</v>
      </c>
      <c r="E73" s="329">
        <f>IF(D73=0,0,(IF($B$24="padrão",'Tabela de preços por Item'!$L$468*3,IF(Simulador!$B$24="mínimo",'Tabela de preços por Item'!$K$468*3,'Tabela de preços por Item'!$M$468*3))/30)*(1-$D$24))</f>
        <v>0</v>
      </c>
      <c r="F73" s="328">
        <f>F72</f>
        <v>1</v>
      </c>
      <c r="G73" s="330">
        <f t="shared" si="3"/>
        <v>0</v>
      </c>
      <c r="H73" s="330">
        <f t="shared" si="4"/>
        <v>0</v>
      </c>
    </row>
    <row r="74" spans="1:8" ht="18" customHeight="1" x14ac:dyDescent="0.2">
      <c r="A74" s="337" t="s">
        <v>367</v>
      </c>
      <c r="B74" s="332" t="str">
        <f>CONCATENATE(B111," - ",C112)</f>
        <v>Tanque Original - Torre Externa</v>
      </c>
      <c r="C74" s="323" t="s">
        <v>15</v>
      </c>
      <c r="D74" s="324">
        <f>J112</f>
        <v>0</v>
      </c>
      <c r="E74" s="325">
        <f>IF(D74=0,0,VLOOKUP(CONCATENATE("LOCAÇÃO",$B$24),'Tabela Dados'!$F$3:$H$6,3,0)*(1-$D$24))</f>
        <v>0</v>
      </c>
      <c r="F74" s="324">
        <v>1</v>
      </c>
      <c r="G74" s="326">
        <f t="shared" si="3"/>
        <v>0</v>
      </c>
      <c r="H74" s="326">
        <f t="shared" si="4"/>
        <v>0</v>
      </c>
    </row>
    <row r="75" spans="1:8" ht="18" customHeight="1" thickBot="1" x14ac:dyDescent="0.25">
      <c r="A75" s="338" t="str">
        <f>A74</f>
        <v>2.3</v>
      </c>
      <c r="B75" s="334" t="str">
        <f>B73</f>
        <v>Piso Extra</v>
      </c>
      <c r="C75" s="327" t="s">
        <v>349</v>
      </c>
      <c r="D75" s="335">
        <f>IF(D74=0,0,F112*G112*H112*D112)</f>
        <v>0</v>
      </c>
      <c r="E75" s="329">
        <f>IF(D75=0,0,(IF($B$24="padrão",'Tabela de preços por Item'!$L$468*3,IF(Simulador!$B$24="mínimo",'Tabela de preços por Item'!$K$468*3,'Tabela de preços por Item'!$M$468*3))/30)*(1-$D$24))</f>
        <v>0</v>
      </c>
      <c r="F75" s="328">
        <f>F74</f>
        <v>1</v>
      </c>
      <c r="G75" s="330">
        <f t="shared" si="3"/>
        <v>0</v>
      </c>
      <c r="H75" s="330">
        <f t="shared" si="4"/>
        <v>0</v>
      </c>
    </row>
    <row r="76" spans="1:8" ht="18" customHeight="1" x14ac:dyDescent="0.2">
      <c r="A76" s="337" t="s">
        <v>368</v>
      </c>
      <c r="B76" s="332" t="str">
        <f>CONCATENATE(B113," - ",C114)</f>
        <v>Tanque Original - Torre Externa</v>
      </c>
      <c r="C76" s="323" t="s">
        <v>15</v>
      </c>
      <c r="D76" s="324">
        <f>J114</f>
        <v>0</v>
      </c>
      <c r="E76" s="325">
        <f>IF(D76=0,0,VLOOKUP(CONCATENATE("LOCAÇÃO",$B$24),'Tabela Dados'!$F$3:$H$6,3,0)*(1-$D$24))</f>
        <v>0</v>
      </c>
      <c r="F76" s="324">
        <v>1</v>
      </c>
      <c r="G76" s="326">
        <f t="shared" si="3"/>
        <v>0</v>
      </c>
      <c r="H76" s="326">
        <f t="shared" si="4"/>
        <v>0</v>
      </c>
    </row>
    <row r="77" spans="1:8" ht="18" customHeight="1" thickBot="1" x14ac:dyDescent="0.25">
      <c r="A77" s="338" t="str">
        <f>A76</f>
        <v>2.4</v>
      </c>
      <c r="B77" s="334" t="str">
        <f>B75</f>
        <v>Piso Extra</v>
      </c>
      <c r="C77" s="327" t="s">
        <v>349</v>
      </c>
      <c r="D77" s="335">
        <f>IF(D76=0,0,F114*G114*H114*D114)</f>
        <v>0</v>
      </c>
      <c r="E77" s="329">
        <f>IF(D77=0,0,(IF($B$24="padrão",'Tabela de preços por Item'!$L$468*3,IF(Simulador!$B$24="mínimo",'Tabela de preços por Item'!$K$468*3,'Tabela de preços por Item'!$M$468*3))/30)*(1-$D$24))</f>
        <v>0</v>
      </c>
      <c r="F77" s="328">
        <f>F76</f>
        <v>1</v>
      </c>
      <c r="G77" s="330">
        <f t="shared" si="3"/>
        <v>0</v>
      </c>
      <c r="H77" s="330">
        <f t="shared" si="4"/>
        <v>0</v>
      </c>
    </row>
    <row r="78" spans="1:8" ht="18" customHeight="1" x14ac:dyDescent="0.2">
      <c r="A78" s="337" t="s">
        <v>369</v>
      </c>
      <c r="B78" s="332" t="str">
        <f>CONCATENATE(B115," - ",C116)</f>
        <v>Tanque Original - Torre Externa</v>
      </c>
      <c r="C78" s="323" t="s">
        <v>15</v>
      </c>
      <c r="D78" s="324">
        <f>J116</f>
        <v>0</v>
      </c>
      <c r="E78" s="325">
        <f>IF(D78=0,0,VLOOKUP(CONCATENATE("LOCAÇÃO",$B$24),'Tabela Dados'!$F$3:$H$6,3,0)*(1-$D$24))</f>
        <v>0</v>
      </c>
      <c r="F78" s="324">
        <v>1</v>
      </c>
      <c r="G78" s="326">
        <f t="shared" si="3"/>
        <v>0</v>
      </c>
      <c r="H78" s="326">
        <f t="shared" si="4"/>
        <v>0</v>
      </c>
    </row>
    <row r="79" spans="1:8" ht="18" customHeight="1" thickBot="1" x14ac:dyDescent="0.25">
      <c r="A79" s="338" t="str">
        <f>A78</f>
        <v>2.5</v>
      </c>
      <c r="B79" s="334" t="str">
        <f>B77</f>
        <v>Piso Extra</v>
      </c>
      <c r="C79" s="327" t="s">
        <v>349</v>
      </c>
      <c r="D79" s="335">
        <f>IF(D78=0,0,F116*G116*H116*D116)</f>
        <v>0</v>
      </c>
      <c r="E79" s="329">
        <f>IF(D79=0,0,(IF($B$24="padrão",'Tabela de preços por Item'!$L$468*3,IF(Simulador!$B$24="mínimo",'Tabela de preços por Item'!$K$468*3,'Tabela de preços por Item'!$M$468*3))/30)*(1-$D$24))</f>
        <v>0</v>
      </c>
      <c r="F79" s="328">
        <f>F78</f>
        <v>1</v>
      </c>
      <c r="G79" s="330">
        <f t="shared" si="3"/>
        <v>0</v>
      </c>
      <c r="H79" s="330">
        <f t="shared" si="4"/>
        <v>0</v>
      </c>
    </row>
    <row r="80" spans="1:8" ht="18" customHeight="1" thickBot="1" x14ac:dyDescent="0.25">
      <c r="A80" s="449" t="s">
        <v>338</v>
      </c>
      <c r="B80" s="450"/>
      <c r="C80" s="451"/>
      <c r="D80" s="201">
        <f>SUM(D26:D79)</f>
        <v>14251.428571428571</v>
      </c>
      <c r="E80" s="201">
        <f>SUM(E26:E79)</f>
        <v>1.0308375000000001</v>
      </c>
      <c r="F80" s="202"/>
      <c r="G80" s="350">
        <f>SUM(G26:G79)</f>
        <v>442463.73000000004</v>
      </c>
      <c r="H80" s="350">
        <f>SUM(H26:H79)</f>
        <v>442463.73</v>
      </c>
    </row>
    <row r="82" spans="1:19" ht="18" customHeight="1" x14ac:dyDescent="0.2">
      <c r="D82" s="140">
        <f>G85*2</f>
        <v>174</v>
      </c>
      <c r="E82" s="140">
        <f>G86*2*D86</f>
        <v>0</v>
      </c>
      <c r="H82" s="140">
        <f>2*PI()*G108</f>
        <v>1.8849555921538759</v>
      </c>
    </row>
    <row r="83" spans="1:19" ht="18" customHeight="1" thickBot="1" x14ac:dyDescent="0.25">
      <c r="A83" s="452" t="s">
        <v>372</v>
      </c>
      <c r="B83" s="452"/>
      <c r="C83" s="452"/>
      <c r="D83" s="452"/>
      <c r="E83" s="452"/>
      <c r="F83" s="452"/>
      <c r="G83" s="452"/>
      <c r="H83" s="452"/>
      <c r="I83" s="452"/>
      <c r="J83" s="452"/>
    </row>
    <row r="84" spans="1:19" ht="18" customHeight="1" thickBot="1" x14ac:dyDescent="0.25">
      <c r="A84" s="152" t="s">
        <v>22</v>
      </c>
      <c r="B84" s="152" t="s">
        <v>306</v>
      </c>
      <c r="C84" s="152" t="s">
        <v>110</v>
      </c>
      <c r="D84" s="152" t="s">
        <v>112</v>
      </c>
      <c r="E84" s="152" t="s">
        <v>307</v>
      </c>
      <c r="F84" s="152" t="s">
        <v>308</v>
      </c>
      <c r="G84" s="152" t="s">
        <v>383</v>
      </c>
      <c r="H84" s="152" t="s">
        <v>311</v>
      </c>
      <c r="I84" s="152" t="s">
        <v>345</v>
      </c>
      <c r="J84" s="153" t="s">
        <v>312</v>
      </c>
      <c r="K84" s="129" t="s">
        <v>351</v>
      </c>
      <c r="L84" s="130" t="s">
        <v>352</v>
      </c>
      <c r="M84" s="131" t="s">
        <v>350</v>
      </c>
      <c r="Q84" s="140"/>
      <c r="R84" s="140"/>
      <c r="S84" s="140"/>
    </row>
    <row r="85" spans="1:19" ht="18" customHeight="1" thickBot="1" x14ac:dyDescent="0.25">
      <c r="A85" s="154" t="s">
        <v>313</v>
      </c>
      <c r="B85" s="155" t="s">
        <v>471</v>
      </c>
      <c r="C85" s="156" t="s">
        <v>4</v>
      </c>
      <c r="D85" s="157">
        <v>2</v>
      </c>
      <c r="E85" s="158">
        <v>10</v>
      </c>
      <c r="F85" s="158">
        <v>8</v>
      </c>
      <c r="G85" s="158">
        <v>87</v>
      </c>
      <c r="H85" s="159">
        <v>0</v>
      </c>
      <c r="I85" s="160">
        <f t="shared" ref="I85:I99" si="7">IF(D85=0,0,IF(E85&lt;9,0,ROUNDDOWN(E85/9,0)))</f>
        <v>1</v>
      </c>
      <c r="J85" s="161">
        <f>IF(OR(D85=0,D85=""),0,IF(OR(G85/F85&lt;0.34,F85&lt;G85&lt;0.34),(((D85*E85*F85*G85)*1.2)+((F85/0.3)*G85*I85)/7)+(((F85/3)*G85*H85)/7),((D85*E85*F85*G85))+((F85/0.3)*G85*I85)/7)+(((F85/3)*G85*H85)/7))</f>
        <v>14251.428571428571</v>
      </c>
      <c r="K85" s="135">
        <f>((F85*D85)+(G85*D85))*2</f>
        <v>380</v>
      </c>
      <c r="L85" s="136">
        <f>E85*D85*4</f>
        <v>80</v>
      </c>
      <c r="M85" s="137">
        <f>F85*G85*H85*D85+F85*G85*D85</f>
        <v>1392</v>
      </c>
      <c r="O85" s="104">
        <v>486</v>
      </c>
      <c r="Q85" s="140"/>
      <c r="R85" s="140"/>
      <c r="S85" s="140"/>
    </row>
    <row r="86" spans="1:19" ht="18" customHeight="1" thickBot="1" x14ac:dyDescent="0.25">
      <c r="A86" s="154" t="s">
        <v>314</v>
      </c>
      <c r="B86" s="155"/>
      <c r="C86" s="156" t="s">
        <v>4</v>
      </c>
      <c r="D86" s="157"/>
      <c r="E86" s="158"/>
      <c r="F86" s="158"/>
      <c r="G86" s="158"/>
      <c r="H86" s="159"/>
      <c r="I86" s="160">
        <f t="shared" si="7"/>
        <v>0</v>
      </c>
      <c r="J86" s="161">
        <f t="shared" ref="J86:J106" si="8">IF(OR(D86=0,D86=""),0,IF(OR(G86/F86&lt;0.34,F86&lt;G86&lt;0.34),(((D86*E86*F86*G86)*1.2)+((F86/0.3)*G86*I86)/7)+(((F86/3)*G86*H86)/7),((D86*E86*F86*G86))+((F86/0.3)*G86*I86)/7)+(((F86/3)*G86*H86)/7))</f>
        <v>0</v>
      </c>
      <c r="K86" s="135">
        <f t="shared" ref="K86:K116" si="9">((F86*D86)+(G86*D86))*2</f>
        <v>0</v>
      </c>
      <c r="L86" s="136">
        <f t="shared" ref="L86:L116" si="10">E86*D86*4</f>
        <v>0</v>
      </c>
      <c r="M86" s="137">
        <f t="shared" ref="M86:M116" si="11">F86*G86*H86*D86+F86*G86*D86</f>
        <v>0</v>
      </c>
      <c r="O86" s="104">
        <v>324</v>
      </c>
      <c r="Q86" s="140"/>
      <c r="R86" s="140"/>
      <c r="S86" s="140"/>
    </row>
    <row r="87" spans="1:19" ht="18" customHeight="1" thickBot="1" x14ac:dyDescent="0.25">
      <c r="A87" s="154" t="s">
        <v>315</v>
      </c>
      <c r="B87" s="155"/>
      <c r="C87" s="156" t="s">
        <v>4</v>
      </c>
      <c r="D87" s="157"/>
      <c r="E87" s="158"/>
      <c r="F87" s="158"/>
      <c r="G87" s="158"/>
      <c r="H87" s="159"/>
      <c r="I87" s="160">
        <f t="shared" si="7"/>
        <v>0</v>
      </c>
      <c r="J87" s="161">
        <f t="shared" si="8"/>
        <v>0</v>
      </c>
      <c r="K87" s="135">
        <f t="shared" si="9"/>
        <v>0</v>
      </c>
      <c r="L87" s="136">
        <f t="shared" si="10"/>
        <v>0</v>
      </c>
      <c r="M87" s="137">
        <f t="shared" si="11"/>
        <v>0</v>
      </c>
      <c r="O87" s="104">
        <v>3024</v>
      </c>
      <c r="Q87" s="140"/>
      <c r="R87" s="140"/>
      <c r="S87" s="140"/>
    </row>
    <row r="88" spans="1:19" ht="18" customHeight="1" thickBot="1" x14ac:dyDescent="0.25">
      <c r="A88" s="154" t="s">
        <v>316</v>
      </c>
      <c r="B88" s="155"/>
      <c r="C88" s="156" t="s">
        <v>323</v>
      </c>
      <c r="D88" s="157"/>
      <c r="E88" s="158"/>
      <c r="F88" s="158"/>
      <c r="G88" s="158"/>
      <c r="H88" s="159"/>
      <c r="I88" s="160">
        <f t="shared" si="7"/>
        <v>0</v>
      </c>
      <c r="J88" s="161">
        <f t="shared" si="8"/>
        <v>0</v>
      </c>
      <c r="K88" s="135">
        <f t="shared" si="9"/>
        <v>0</v>
      </c>
      <c r="L88" s="136">
        <f t="shared" si="10"/>
        <v>0</v>
      </c>
      <c r="M88" s="137">
        <f t="shared" si="11"/>
        <v>0</v>
      </c>
      <c r="O88" s="140">
        <v>5197.5</v>
      </c>
      <c r="P88" s="140"/>
      <c r="Q88" s="140"/>
      <c r="R88" s="140"/>
      <c r="S88" s="140"/>
    </row>
    <row r="89" spans="1:19" ht="18" customHeight="1" thickBot="1" x14ac:dyDescent="0.25">
      <c r="A89" s="154" t="s">
        <v>317</v>
      </c>
      <c r="B89" s="155"/>
      <c r="C89" s="156" t="s">
        <v>4</v>
      </c>
      <c r="D89" s="157"/>
      <c r="E89" s="158"/>
      <c r="F89" s="158"/>
      <c r="G89" s="158"/>
      <c r="H89" s="159"/>
      <c r="I89" s="160">
        <f t="shared" si="7"/>
        <v>0</v>
      </c>
      <c r="J89" s="161">
        <f t="shared" si="8"/>
        <v>0</v>
      </c>
      <c r="K89" s="135">
        <f t="shared" si="9"/>
        <v>0</v>
      </c>
      <c r="L89" s="136">
        <f t="shared" si="10"/>
        <v>0</v>
      </c>
      <c r="M89" s="137">
        <f t="shared" si="11"/>
        <v>0</v>
      </c>
      <c r="O89" s="140">
        <v>5197.5</v>
      </c>
    </row>
    <row r="90" spans="1:19" ht="18" customHeight="1" thickBot="1" x14ac:dyDescent="0.25">
      <c r="A90" s="154" t="s">
        <v>318</v>
      </c>
      <c r="B90" s="155"/>
      <c r="C90" s="156" t="s">
        <v>4</v>
      </c>
      <c r="D90" s="157"/>
      <c r="E90" s="158"/>
      <c r="F90" s="158"/>
      <c r="G90" s="158"/>
      <c r="H90" s="159"/>
      <c r="I90" s="160">
        <f t="shared" si="7"/>
        <v>0</v>
      </c>
      <c r="J90" s="161">
        <f t="shared" si="8"/>
        <v>0</v>
      </c>
      <c r="K90" s="135">
        <f t="shared" si="9"/>
        <v>0</v>
      </c>
      <c r="L90" s="136">
        <f t="shared" si="10"/>
        <v>0</v>
      </c>
      <c r="M90" s="137">
        <f t="shared" si="11"/>
        <v>0</v>
      </c>
      <c r="O90" s="104">
        <f>SUM(O85:O89)</f>
        <v>14229</v>
      </c>
    </row>
    <row r="91" spans="1:19" ht="18" customHeight="1" thickBot="1" x14ac:dyDescent="0.25">
      <c r="A91" s="154" t="s">
        <v>319</v>
      </c>
      <c r="B91" s="155"/>
      <c r="C91" s="156" t="s">
        <v>4</v>
      </c>
      <c r="D91" s="157"/>
      <c r="E91" s="158"/>
      <c r="F91" s="158"/>
      <c r="G91" s="158"/>
      <c r="H91" s="159"/>
      <c r="I91" s="160">
        <f t="shared" si="7"/>
        <v>0</v>
      </c>
      <c r="J91" s="161">
        <f t="shared" si="8"/>
        <v>0</v>
      </c>
      <c r="K91" s="135">
        <f t="shared" si="9"/>
        <v>0</v>
      </c>
      <c r="L91" s="136">
        <f t="shared" si="10"/>
        <v>0</v>
      </c>
      <c r="M91" s="137">
        <f t="shared" si="11"/>
        <v>0</v>
      </c>
    </row>
    <row r="92" spans="1:19" ht="18" customHeight="1" thickBot="1" x14ac:dyDescent="0.25">
      <c r="A92" s="154" t="s">
        <v>320</v>
      </c>
      <c r="B92" s="155"/>
      <c r="C92" s="156" t="s">
        <v>4</v>
      </c>
      <c r="D92" s="157"/>
      <c r="E92" s="158"/>
      <c r="F92" s="158"/>
      <c r="G92" s="158"/>
      <c r="H92" s="159"/>
      <c r="I92" s="160">
        <f t="shared" si="7"/>
        <v>0</v>
      </c>
      <c r="J92" s="161">
        <f t="shared" si="8"/>
        <v>0</v>
      </c>
      <c r="K92" s="135">
        <f t="shared" si="9"/>
        <v>0</v>
      </c>
      <c r="L92" s="136">
        <f t="shared" si="10"/>
        <v>0</v>
      </c>
      <c r="M92" s="137">
        <f t="shared" si="11"/>
        <v>0</v>
      </c>
    </row>
    <row r="93" spans="1:19" ht="18" customHeight="1" thickBot="1" x14ac:dyDescent="0.25">
      <c r="A93" s="154" t="s">
        <v>321</v>
      </c>
      <c r="B93" s="155"/>
      <c r="C93" s="156" t="s">
        <v>4</v>
      </c>
      <c r="D93" s="157"/>
      <c r="E93" s="158"/>
      <c r="F93" s="158"/>
      <c r="G93" s="158"/>
      <c r="H93" s="159"/>
      <c r="I93" s="160">
        <f t="shared" si="7"/>
        <v>0</v>
      </c>
      <c r="J93" s="161">
        <f t="shared" si="8"/>
        <v>0</v>
      </c>
      <c r="K93" s="135">
        <f t="shared" si="9"/>
        <v>0</v>
      </c>
      <c r="L93" s="136">
        <f t="shared" si="10"/>
        <v>0</v>
      </c>
      <c r="M93" s="137">
        <f t="shared" si="11"/>
        <v>0</v>
      </c>
    </row>
    <row r="94" spans="1:19" ht="18" customHeight="1" thickBot="1" x14ac:dyDescent="0.25">
      <c r="A94" s="154" t="s">
        <v>322</v>
      </c>
      <c r="B94" s="155"/>
      <c r="C94" s="156" t="s">
        <v>4</v>
      </c>
      <c r="D94" s="157"/>
      <c r="E94" s="158"/>
      <c r="F94" s="158"/>
      <c r="G94" s="158"/>
      <c r="H94" s="159"/>
      <c r="I94" s="160">
        <f t="shared" si="7"/>
        <v>0</v>
      </c>
      <c r="J94" s="161">
        <f t="shared" si="8"/>
        <v>0</v>
      </c>
      <c r="K94" s="135">
        <f t="shared" si="9"/>
        <v>0</v>
      </c>
      <c r="L94" s="136">
        <f t="shared" si="10"/>
        <v>0</v>
      </c>
      <c r="M94" s="137">
        <f t="shared" si="11"/>
        <v>0</v>
      </c>
    </row>
    <row r="95" spans="1:19" ht="18" customHeight="1" thickBot="1" x14ac:dyDescent="0.25">
      <c r="A95" s="154" t="s">
        <v>357</v>
      </c>
      <c r="B95" s="155"/>
      <c r="C95" s="156" t="s">
        <v>4</v>
      </c>
      <c r="D95" s="157"/>
      <c r="E95" s="158"/>
      <c r="F95" s="158"/>
      <c r="G95" s="158"/>
      <c r="H95" s="159"/>
      <c r="I95" s="160">
        <f t="shared" si="7"/>
        <v>0</v>
      </c>
      <c r="J95" s="161">
        <f t="shared" si="8"/>
        <v>0</v>
      </c>
      <c r="K95" s="135">
        <f t="shared" si="9"/>
        <v>0</v>
      </c>
      <c r="L95" s="136">
        <f t="shared" si="10"/>
        <v>0</v>
      </c>
      <c r="M95" s="137">
        <f t="shared" si="11"/>
        <v>0</v>
      </c>
    </row>
    <row r="96" spans="1:19" ht="18" customHeight="1" thickBot="1" x14ac:dyDescent="0.25">
      <c r="A96" s="154" t="s">
        <v>358</v>
      </c>
      <c r="B96" s="155"/>
      <c r="C96" s="156" t="s">
        <v>4</v>
      </c>
      <c r="D96" s="157"/>
      <c r="E96" s="158"/>
      <c r="F96" s="158"/>
      <c r="G96" s="158"/>
      <c r="H96" s="159"/>
      <c r="I96" s="160">
        <f t="shared" si="7"/>
        <v>0</v>
      </c>
      <c r="J96" s="161">
        <f t="shared" si="8"/>
        <v>0</v>
      </c>
      <c r="K96" s="135">
        <f t="shared" si="9"/>
        <v>0</v>
      </c>
      <c r="L96" s="136">
        <f t="shared" si="10"/>
        <v>0</v>
      </c>
      <c r="M96" s="137">
        <f t="shared" si="11"/>
        <v>0</v>
      </c>
    </row>
    <row r="97" spans="1:13" ht="18" customHeight="1" thickBot="1" x14ac:dyDescent="0.25">
      <c r="A97" s="154" t="s">
        <v>359</v>
      </c>
      <c r="B97" s="155"/>
      <c r="C97" s="156" t="s">
        <v>4</v>
      </c>
      <c r="D97" s="157"/>
      <c r="E97" s="158"/>
      <c r="F97" s="158"/>
      <c r="G97" s="158"/>
      <c r="H97" s="159"/>
      <c r="I97" s="160">
        <f t="shared" si="7"/>
        <v>0</v>
      </c>
      <c r="J97" s="161">
        <f t="shared" si="8"/>
        <v>0</v>
      </c>
      <c r="K97" s="135">
        <f t="shared" si="9"/>
        <v>0</v>
      </c>
      <c r="L97" s="136">
        <f t="shared" si="10"/>
        <v>0</v>
      </c>
      <c r="M97" s="137">
        <f t="shared" si="11"/>
        <v>0</v>
      </c>
    </row>
    <row r="98" spans="1:13" ht="18" customHeight="1" thickBot="1" x14ac:dyDescent="0.25">
      <c r="A98" s="154" t="s">
        <v>360</v>
      </c>
      <c r="B98" s="155"/>
      <c r="C98" s="156" t="s">
        <v>4</v>
      </c>
      <c r="D98" s="157"/>
      <c r="E98" s="158"/>
      <c r="F98" s="158"/>
      <c r="G98" s="158"/>
      <c r="H98" s="159"/>
      <c r="I98" s="160">
        <f t="shared" si="7"/>
        <v>0</v>
      </c>
      <c r="J98" s="161">
        <f t="shared" si="8"/>
        <v>0</v>
      </c>
      <c r="K98" s="135">
        <f t="shared" si="9"/>
        <v>0</v>
      </c>
      <c r="L98" s="136">
        <f t="shared" si="10"/>
        <v>0</v>
      </c>
      <c r="M98" s="137">
        <f t="shared" si="11"/>
        <v>0</v>
      </c>
    </row>
    <row r="99" spans="1:13" ht="18" customHeight="1" thickBot="1" x14ac:dyDescent="0.25">
      <c r="A99" s="154" t="s">
        <v>361</v>
      </c>
      <c r="B99" s="155"/>
      <c r="C99" s="156" t="s">
        <v>4</v>
      </c>
      <c r="D99" s="157"/>
      <c r="E99" s="158"/>
      <c r="F99" s="158"/>
      <c r="G99" s="158"/>
      <c r="H99" s="159"/>
      <c r="I99" s="160">
        <f t="shared" si="7"/>
        <v>0</v>
      </c>
      <c r="J99" s="161">
        <f t="shared" si="8"/>
        <v>0</v>
      </c>
      <c r="K99" s="135">
        <f t="shared" si="9"/>
        <v>0</v>
      </c>
      <c r="L99" s="136">
        <f t="shared" si="10"/>
        <v>0</v>
      </c>
      <c r="M99" s="137">
        <f t="shared" si="11"/>
        <v>0</v>
      </c>
    </row>
    <row r="100" spans="1:13" ht="18" customHeight="1" thickBot="1" x14ac:dyDescent="0.25">
      <c r="A100" s="154" t="s">
        <v>362</v>
      </c>
      <c r="B100" s="155"/>
      <c r="C100" s="156" t="s">
        <v>4</v>
      </c>
      <c r="D100" s="157"/>
      <c r="E100" s="158"/>
      <c r="F100" s="158"/>
      <c r="G100" s="158"/>
      <c r="H100" s="159"/>
      <c r="I100" s="160">
        <f>IF(D100=0,0,IF(E100&lt;9,0,ROUNDDOWN(E100/9,0)))</f>
        <v>0</v>
      </c>
      <c r="J100" s="161">
        <f t="shared" si="8"/>
        <v>0</v>
      </c>
      <c r="K100" s="135">
        <f t="shared" si="9"/>
        <v>0</v>
      </c>
      <c r="L100" s="136">
        <f t="shared" si="10"/>
        <v>0</v>
      </c>
      <c r="M100" s="137">
        <f t="shared" si="11"/>
        <v>0</v>
      </c>
    </row>
    <row r="101" spans="1:13" ht="18" customHeight="1" thickBot="1" x14ac:dyDescent="0.25">
      <c r="A101" s="154" t="s">
        <v>363</v>
      </c>
      <c r="B101" s="155"/>
      <c r="C101" s="156" t="s">
        <v>4</v>
      </c>
      <c r="D101" s="157"/>
      <c r="E101" s="158"/>
      <c r="F101" s="158"/>
      <c r="G101" s="158"/>
      <c r="H101" s="159"/>
      <c r="I101" s="160">
        <f t="shared" ref="I101:I106" si="12">IF(D101=0,0,IF(E101&lt;9,0,ROUNDDOWN(E101/9,0)))</f>
        <v>0</v>
      </c>
      <c r="J101" s="161">
        <f t="shared" si="8"/>
        <v>0</v>
      </c>
      <c r="K101" s="135">
        <f t="shared" si="9"/>
        <v>0</v>
      </c>
      <c r="L101" s="136">
        <f t="shared" si="10"/>
        <v>0</v>
      </c>
      <c r="M101" s="137">
        <f t="shared" si="11"/>
        <v>0</v>
      </c>
    </row>
    <row r="102" spans="1:13" ht="18" customHeight="1" thickBot="1" x14ac:dyDescent="0.25">
      <c r="A102" s="154" t="s">
        <v>364</v>
      </c>
      <c r="B102" s="155"/>
      <c r="C102" s="156" t="s">
        <v>4</v>
      </c>
      <c r="D102" s="157"/>
      <c r="E102" s="158"/>
      <c r="F102" s="158"/>
      <c r="G102" s="158"/>
      <c r="H102" s="159"/>
      <c r="I102" s="160">
        <f t="shared" si="12"/>
        <v>0</v>
      </c>
      <c r="J102" s="161">
        <f t="shared" si="8"/>
        <v>0</v>
      </c>
      <c r="K102" s="135">
        <f t="shared" si="9"/>
        <v>0</v>
      </c>
      <c r="L102" s="136">
        <f t="shared" si="10"/>
        <v>0</v>
      </c>
      <c r="M102" s="137">
        <f t="shared" si="11"/>
        <v>0</v>
      </c>
    </row>
    <row r="103" spans="1:13" ht="18" customHeight="1" thickBot="1" x14ac:dyDescent="0.25">
      <c r="A103" s="154" t="s">
        <v>365</v>
      </c>
      <c r="B103" s="155"/>
      <c r="C103" s="156" t="s">
        <v>4</v>
      </c>
      <c r="D103" s="157"/>
      <c r="E103" s="158"/>
      <c r="F103" s="158"/>
      <c r="G103" s="158"/>
      <c r="H103" s="159"/>
      <c r="I103" s="160">
        <f t="shared" si="12"/>
        <v>0</v>
      </c>
      <c r="J103" s="161">
        <f t="shared" si="8"/>
        <v>0</v>
      </c>
      <c r="K103" s="135">
        <f t="shared" si="9"/>
        <v>0</v>
      </c>
      <c r="L103" s="136">
        <f t="shared" si="10"/>
        <v>0</v>
      </c>
      <c r="M103" s="137">
        <f t="shared" si="11"/>
        <v>0</v>
      </c>
    </row>
    <row r="104" spans="1:13" ht="18" customHeight="1" thickBot="1" x14ac:dyDescent="0.25">
      <c r="A104" s="154" t="s">
        <v>366</v>
      </c>
      <c r="B104" s="155"/>
      <c r="C104" s="156" t="s">
        <v>4</v>
      </c>
      <c r="D104" s="157"/>
      <c r="E104" s="158"/>
      <c r="F104" s="158"/>
      <c r="G104" s="158"/>
      <c r="H104" s="159"/>
      <c r="I104" s="160">
        <f t="shared" si="12"/>
        <v>0</v>
      </c>
      <c r="J104" s="161">
        <f t="shared" si="8"/>
        <v>0</v>
      </c>
      <c r="K104" s="135">
        <f t="shared" si="9"/>
        <v>0</v>
      </c>
      <c r="L104" s="136">
        <f t="shared" si="10"/>
        <v>0</v>
      </c>
      <c r="M104" s="137">
        <f t="shared" si="11"/>
        <v>0</v>
      </c>
    </row>
    <row r="105" spans="1:13" ht="18" customHeight="1" thickBot="1" x14ac:dyDescent="0.25">
      <c r="A105" s="347" t="s">
        <v>378</v>
      </c>
      <c r="B105" s="155"/>
      <c r="C105" s="156" t="s">
        <v>4</v>
      </c>
      <c r="D105" s="157"/>
      <c r="E105" s="348"/>
      <c r="F105" s="348"/>
      <c r="G105" s="348"/>
      <c r="H105" s="349"/>
      <c r="I105" s="160">
        <f t="shared" si="12"/>
        <v>0</v>
      </c>
      <c r="J105" s="161">
        <f t="shared" si="8"/>
        <v>0</v>
      </c>
      <c r="K105" s="135">
        <f t="shared" si="9"/>
        <v>0</v>
      </c>
      <c r="L105" s="136">
        <f t="shared" si="10"/>
        <v>0</v>
      </c>
      <c r="M105" s="137">
        <f t="shared" si="11"/>
        <v>0</v>
      </c>
    </row>
    <row r="106" spans="1:13" ht="18" customHeight="1" thickBot="1" x14ac:dyDescent="0.25">
      <c r="A106" s="347" t="s">
        <v>379</v>
      </c>
      <c r="B106" s="155"/>
      <c r="C106" s="156" t="s">
        <v>323</v>
      </c>
      <c r="D106" s="157"/>
      <c r="E106" s="348"/>
      <c r="F106" s="348"/>
      <c r="G106" s="348"/>
      <c r="H106" s="349"/>
      <c r="I106" s="160">
        <f t="shared" si="12"/>
        <v>0</v>
      </c>
      <c r="J106" s="161">
        <f t="shared" si="8"/>
        <v>0</v>
      </c>
      <c r="K106" s="135">
        <f t="shared" si="9"/>
        <v>0</v>
      </c>
      <c r="L106" s="136">
        <f t="shared" si="10"/>
        <v>0</v>
      </c>
      <c r="M106" s="137">
        <f t="shared" si="11"/>
        <v>0</v>
      </c>
    </row>
    <row r="107" spans="1:13" ht="18" customHeight="1" thickBot="1" x14ac:dyDescent="0.25">
      <c r="A107" s="314"/>
      <c r="B107" s="220" t="s">
        <v>329</v>
      </c>
      <c r="C107" s="221"/>
      <c r="D107" s="162"/>
      <c r="E107" s="163"/>
      <c r="F107" s="164"/>
      <c r="G107" s="163"/>
      <c r="H107" s="163"/>
      <c r="I107" s="165">
        <v>3</v>
      </c>
      <c r="J107" s="166">
        <f>IF(OR(D107="",D107=0),0,((PI()*((G107)^2)*E107))*D107+((F85/0.3)*G85*I85)/7)</f>
        <v>0</v>
      </c>
      <c r="K107" s="135">
        <f t="shared" si="9"/>
        <v>0</v>
      </c>
      <c r="L107" s="136">
        <f t="shared" si="10"/>
        <v>0</v>
      </c>
      <c r="M107" s="137">
        <f t="shared" si="11"/>
        <v>0</v>
      </c>
    </row>
    <row r="108" spans="1:13" ht="18" customHeight="1" thickBot="1" x14ac:dyDescent="0.25">
      <c r="A108" s="314" t="s">
        <v>326</v>
      </c>
      <c r="B108" s="167" t="s">
        <v>370</v>
      </c>
      <c r="C108" s="168" t="s">
        <v>197</v>
      </c>
      <c r="D108" s="169">
        <f>D107</f>
        <v>0</v>
      </c>
      <c r="E108" s="170">
        <f>E107</f>
        <v>0</v>
      </c>
      <c r="F108" s="171"/>
      <c r="G108" s="170">
        <f>F108+G107+0.3</f>
        <v>0.3</v>
      </c>
      <c r="H108" s="170">
        <f>H107</f>
        <v>0</v>
      </c>
      <c r="I108" s="172">
        <v>3</v>
      </c>
      <c r="J108" s="173">
        <f>IF(OR(D107="",D107=0),0,IF(C108="Torre Externa",(2*PI()*(G107+0.3+F108)*E108*F108),IF(C108="Costado Interno",(2*PI()*(G107-0.3)*F108*E108),PI()*(G107)^2*E108))*D108+((F85/0.3)*G85*I85)/7)</f>
        <v>0</v>
      </c>
      <c r="K108" s="135">
        <f t="shared" si="9"/>
        <v>0</v>
      </c>
      <c r="L108" s="136">
        <f t="shared" si="10"/>
        <v>0</v>
      </c>
      <c r="M108" s="137">
        <f>F108*G108*H108*D108+F108*G108*D108</f>
        <v>0</v>
      </c>
    </row>
    <row r="109" spans="1:13" ht="18" customHeight="1" thickBot="1" x14ac:dyDescent="0.25">
      <c r="A109" s="314"/>
      <c r="B109" s="220" t="s">
        <v>329</v>
      </c>
      <c r="C109" s="221"/>
      <c r="D109" s="162"/>
      <c r="E109" s="163"/>
      <c r="F109" s="164"/>
      <c r="G109" s="163"/>
      <c r="H109" s="163"/>
      <c r="I109" s="165">
        <f t="shared" ref="I109:I116" si="13">IF(D109=0,0,IF(E109&lt;9,0,ROUNDDOWN(E109/9,0)-1))</f>
        <v>0</v>
      </c>
      <c r="J109" s="166">
        <f>IF(OR(D109="",D109=0),0,((PI()*((G109)^2)*E109))*D109+((F87/0.3)*G87*I87)/7)</f>
        <v>0</v>
      </c>
      <c r="K109" s="135">
        <f t="shared" si="9"/>
        <v>0</v>
      </c>
      <c r="L109" s="136">
        <f t="shared" si="10"/>
        <v>0</v>
      </c>
      <c r="M109" s="137">
        <f t="shared" si="11"/>
        <v>0</v>
      </c>
    </row>
    <row r="110" spans="1:13" ht="18" customHeight="1" thickBot="1" x14ac:dyDescent="0.25">
      <c r="A110" s="314" t="s">
        <v>327</v>
      </c>
      <c r="B110" s="167" t="s">
        <v>370</v>
      </c>
      <c r="C110" s="174" t="s">
        <v>197</v>
      </c>
      <c r="D110" s="169">
        <f>D109</f>
        <v>0</v>
      </c>
      <c r="E110" s="170">
        <f>E109</f>
        <v>0</v>
      </c>
      <c r="F110" s="171"/>
      <c r="G110" s="170">
        <f>F110+G109+0.3</f>
        <v>0.3</v>
      </c>
      <c r="H110" s="170">
        <f>H109</f>
        <v>0</v>
      </c>
      <c r="I110" s="172">
        <f t="shared" si="13"/>
        <v>0</v>
      </c>
      <c r="J110" s="173">
        <f>IF(OR(D109="",D109=0),0,IF(C110="Torre Externa",(2*PI()*(G109+0.3+F110)*E110*F110),IF(C110="Costado Interno",(2*PI()*(G109-0.3)*F110*E110),PI()*(G109)^2*E110))*D110+((F87/0.3)*G87*I87)/7)</f>
        <v>0</v>
      </c>
      <c r="K110" s="135">
        <f t="shared" si="9"/>
        <v>0</v>
      </c>
      <c r="L110" s="136">
        <f t="shared" si="10"/>
        <v>0</v>
      </c>
      <c r="M110" s="137">
        <f t="shared" si="11"/>
        <v>0</v>
      </c>
    </row>
    <row r="111" spans="1:13" ht="18" customHeight="1" thickBot="1" x14ac:dyDescent="0.25">
      <c r="A111" s="314"/>
      <c r="B111" s="220" t="s">
        <v>329</v>
      </c>
      <c r="C111" s="221"/>
      <c r="D111" s="162"/>
      <c r="E111" s="163"/>
      <c r="F111" s="164"/>
      <c r="G111" s="163"/>
      <c r="H111" s="163"/>
      <c r="I111" s="165">
        <f t="shared" si="13"/>
        <v>0</v>
      </c>
      <c r="J111" s="166">
        <f>IF(OR(D111="",D111=0),0,((PI()*((G111)^2)*E111))*D111+((F89/0.3)*G89*I89)/7)</f>
        <v>0</v>
      </c>
      <c r="K111" s="135">
        <f t="shared" si="9"/>
        <v>0</v>
      </c>
      <c r="L111" s="136">
        <f t="shared" si="10"/>
        <v>0</v>
      </c>
      <c r="M111" s="137">
        <f t="shared" si="11"/>
        <v>0</v>
      </c>
    </row>
    <row r="112" spans="1:13" ht="18" customHeight="1" thickBot="1" x14ac:dyDescent="0.25">
      <c r="A112" s="314" t="s">
        <v>367</v>
      </c>
      <c r="B112" s="167" t="s">
        <v>370</v>
      </c>
      <c r="C112" s="174" t="s">
        <v>197</v>
      </c>
      <c r="D112" s="169">
        <f>D111</f>
        <v>0</v>
      </c>
      <c r="E112" s="170">
        <f>E111</f>
        <v>0</v>
      </c>
      <c r="F112" s="171"/>
      <c r="G112" s="170">
        <f>F112+G111+0.3</f>
        <v>0.3</v>
      </c>
      <c r="H112" s="170">
        <f>H111</f>
        <v>0</v>
      </c>
      <c r="I112" s="172">
        <f t="shared" si="13"/>
        <v>0</v>
      </c>
      <c r="J112" s="173">
        <f>IF(OR(D111="",D111=0),0,IF(C112="Torre Externa",(2*PI()*(G111+0.3+F112)*E112*F112),IF(C112="Costado Interno",(2*PI()*(G111-0.3)*F112*E112),PI()*(G111)^2*E112))*D112+((F89/0.3)*G89*I89)/7)</f>
        <v>0</v>
      </c>
      <c r="K112" s="135">
        <f t="shared" si="9"/>
        <v>0</v>
      </c>
      <c r="L112" s="136">
        <f t="shared" si="10"/>
        <v>0</v>
      </c>
      <c r="M112" s="137">
        <f t="shared" si="11"/>
        <v>0</v>
      </c>
    </row>
    <row r="113" spans="1:35" ht="18" customHeight="1" thickBot="1" x14ac:dyDescent="0.25">
      <c r="A113" s="314"/>
      <c r="B113" s="220" t="s">
        <v>329</v>
      </c>
      <c r="C113" s="221"/>
      <c r="D113" s="162"/>
      <c r="E113" s="163"/>
      <c r="F113" s="164"/>
      <c r="G113" s="163"/>
      <c r="H113" s="163"/>
      <c r="I113" s="165">
        <f t="shared" si="13"/>
        <v>0</v>
      </c>
      <c r="J113" s="166">
        <f>IF(OR(D113="",D113=0),0,((PI()*((G113)^2)*E113))*D113+((F91/0.3)*G91*I91)/7)</f>
        <v>0</v>
      </c>
      <c r="K113" s="135">
        <f t="shared" si="9"/>
        <v>0</v>
      </c>
      <c r="L113" s="136">
        <f t="shared" si="10"/>
        <v>0</v>
      </c>
      <c r="M113" s="137">
        <f t="shared" si="11"/>
        <v>0</v>
      </c>
    </row>
    <row r="114" spans="1:35" ht="18" customHeight="1" thickBot="1" x14ac:dyDescent="0.25">
      <c r="A114" s="314" t="s">
        <v>368</v>
      </c>
      <c r="B114" s="167" t="s">
        <v>370</v>
      </c>
      <c r="C114" s="174" t="s">
        <v>197</v>
      </c>
      <c r="D114" s="169">
        <f>D113</f>
        <v>0</v>
      </c>
      <c r="E114" s="170">
        <f>E113</f>
        <v>0</v>
      </c>
      <c r="F114" s="171"/>
      <c r="G114" s="170">
        <f>F114+G113+0.3</f>
        <v>0.3</v>
      </c>
      <c r="H114" s="170">
        <f>H113</f>
        <v>0</v>
      </c>
      <c r="I114" s="172">
        <f t="shared" si="13"/>
        <v>0</v>
      </c>
      <c r="J114" s="173">
        <f>IF(OR(D113="",D113=0),0,IF(C114="Torre Externa",(2*PI()*(G113+0.3+F114)*E114*F114),IF(C114="Costado Interno",(2*PI()*(G113-0.3)*F114*E114),PI()*(G113)^2*E114))*D114+((F91/0.3)*G91*I91)/7)</f>
        <v>0</v>
      </c>
      <c r="K114" s="135">
        <f t="shared" si="9"/>
        <v>0</v>
      </c>
      <c r="L114" s="136">
        <f t="shared" si="10"/>
        <v>0</v>
      </c>
      <c r="M114" s="137">
        <f t="shared" si="11"/>
        <v>0</v>
      </c>
    </row>
    <row r="115" spans="1:35" ht="18" customHeight="1" thickBot="1" x14ac:dyDescent="0.25">
      <c r="A115" s="314"/>
      <c r="B115" s="220" t="s">
        <v>329</v>
      </c>
      <c r="C115" s="221"/>
      <c r="D115" s="162"/>
      <c r="E115" s="163"/>
      <c r="F115" s="164"/>
      <c r="G115" s="163"/>
      <c r="H115" s="163"/>
      <c r="I115" s="165">
        <f t="shared" si="13"/>
        <v>0</v>
      </c>
      <c r="J115" s="166">
        <f>IF(OR(D115="",D115=0),0,((PI()*((G115)^2)*E115))*D115+((F93/0.3)*G93*I93)/7)</f>
        <v>0</v>
      </c>
      <c r="K115" s="135">
        <f t="shared" si="9"/>
        <v>0</v>
      </c>
      <c r="L115" s="136">
        <f t="shared" si="10"/>
        <v>0</v>
      </c>
      <c r="M115" s="137">
        <f t="shared" si="11"/>
        <v>0</v>
      </c>
    </row>
    <row r="116" spans="1:35" ht="18" customHeight="1" thickBot="1" x14ac:dyDescent="0.25">
      <c r="A116" s="314" t="s">
        <v>369</v>
      </c>
      <c r="B116" s="167" t="s">
        <v>370</v>
      </c>
      <c r="C116" s="174" t="s">
        <v>197</v>
      </c>
      <c r="D116" s="169">
        <f>D115</f>
        <v>0</v>
      </c>
      <c r="E116" s="170">
        <f>E115</f>
        <v>0</v>
      </c>
      <c r="F116" s="171"/>
      <c r="G116" s="170">
        <f>F116+G115+0.3</f>
        <v>0.3</v>
      </c>
      <c r="H116" s="170">
        <f>H115</f>
        <v>0</v>
      </c>
      <c r="I116" s="165">
        <f t="shared" si="13"/>
        <v>0</v>
      </c>
      <c r="J116" s="173">
        <f>IF(OR(D115="",D115=0),0,IF(C116="Torre Externa",(2*PI()*(G115+0.3+F116)*E116*F116),IF(C116="Costado Interno",(2*PI()*(G115-0.3)*F116*E116),PI()*(G115)^2*E116))*D116+((F93/0.3)*G93*I93)/7)</f>
        <v>0</v>
      </c>
      <c r="K116" s="135">
        <f t="shared" si="9"/>
        <v>0</v>
      </c>
      <c r="L116" s="136">
        <f t="shared" si="10"/>
        <v>0</v>
      </c>
      <c r="M116" s="137">
        <f t="shared" si="11"/>
        <v>0</v>
      </c>
    </row>
    <row r="117" spans="1:35" ht="18" customHeight="1" thickBot="1" x14ac:dyDescent="0.25">
      <c r="A117" s="454"/>
      <c r="B117" s="455"/>
      <c r="C117" s="456"/>
      <c r="D117" s="175">
        <f>SUM(D85:D106,D108,D110,D112,D114,D116)</f>
        <v>2</v>
      </c>
      <c r="E117" s="457"/>
      <c r="F117" s="458"/>
      <c r="G117" s="458"/>
      <c r="H117" s="458"/>
      <c r="I117" s="459"/>
      <c r="J117" s="176">
        <f>SUM(J85:J106,J108,J110,J112,J114,J116)</f>
        <v>14251.428571428571</v>
      </c>
      <c r="K117" s="132">
        <f t="shared" ref="K117:M117" si="14">SUM(K85:K116)</f>
        <v>380</v>
      </c>
      <c r="L117" s="133">
        <f t="shared" si="14"/>
        <v>80</v>
      </c>
      <c r="M117" s="134">
        <f t="shared" si="14"/>
        <v>1392</v>
      </c>
    </row>
    <row r="126" spans="1:35" ht="18" customHeight="1" thickBot="1" x14ac:dyDescent="0.25">
      <c r="D126" s="104"/>
      <c r="E126" s="104"/>
      <c r="L126" s="104"/>
      <c r="Q126" s="125"/>
      <c r="R126" s="125"/>
      <c r="S126" s="125"/>
      <c r="U126" s="453" t="s">
        <v>328</v>
      </c>
      <c r="V126" s="453"/>
      <c r="W126" s="453"/>
      <c r="X126" s="453"/>
      <c r="Y126" s="453"/>
      <c r="Z126" s="453"/>
      <c r="AA126" s="453"/>
      <c r="AB126" s="453"/>
      <c r="AC126" s="453"/>
    </row>
    <row r="127" spans="1:35" s="105" customFormat="1" ht="18" customHeight="1" thickBot="1" x14ac:dyDescent="0.25">
      <c r="A127" s="177"/>
      <c r="B127" s="177"/>
      <c r="C127" s="177"/>
      <c r="F127" s="177"/>
      <c r="G127" s="177"/>
      <c r="H127" s="177"/>
      <c r="I127" s="177"/>
      <c r="J127" s="177"/>
      <c r="Q127" s="126" t="s">
        <v>351</v>
      </c>
      <c r="R127" s="126" t="s">
        <v>352</v>
      </c>
      <c r="S127" s="126" t="s">
        <v>350</v>
      </c>
      <c r="U127" s="106" t="s">
        <v>22</v>
      </c>
      <c r="V127" s="106" t="s">
        <v>110</v>
      </c>
      <c r="W127" s="106" t="s">
        <v>112</v>
      </c>
      <c r="X127" s="106" t="s">
        <v>307</v>
      </c>
      <c r="Y127" s="106" t="s">
        <v>308</v>
      </c>
      <c r="Z127" s="106" t="s">
        <v>310</v>
      </c>
      <c r="AA127" s="106" t="s">
        <v>311</v>
      </c>
      <c r="AB127" s="106" t="s">
        <v>312</v>
      </c>
      <c r="AD127" s="104"/>
      <c r="AE127" s="104"/>
      <c r="AF127" s="104"/>
      <c r="AG127" s="104"/>
      <c r="AH127" s="104"/>
      <c r="AI127" s="104"/>
    </row>
    <row r="128" spans="1:35" ht="18" customHeight="1" x14ac:dyDescent="0.2">
      <c r="D128" s="104"/>
      <c r="E128" s="104"/>
      <c r="L128" s="104"/>
      <c r="Q128" s="127">
        <f t="shared" ref="Q128:Q137" si="15">((F85*D85)+(G85*D85))*2</f>
        <v>380</v>
      </c>
      <c r="R128" s="127">
        <f t="shared" ref="R128:R137" si="16">E85*D85*4</f>
        <v>80</v>
      </c>
      <c r="S128" s="127">
        <f t="shared" ref="S128:S137" si="17">F85*G85*H85*D85+F85*G85*D85</f>
        <v>1392</v>
      </c>
      <c r="U128" s="107" t="s">
        <v>326</v>
      </c>
      <c r="V128" s="108" t="s">
        <v>329</v>
      </c>
      <c r="W128" s="109">
        <v>0</v>
      </c>
      <c r="X128" s="110">
        <v>44</v>
      </c>
      <c r="Y128" s="121"/>
      <c r="Z128" s="110">
        <v>14</v>
      </c>
      <c r="AA128" s="110">
        <f>IF(W128=0,0,X128/2-1)</f>
        <v>0</v>
      </c>
      <c r="AB128" s="111">
        <f>((PI()*((Z128)^2)*X128))*W128</f>
        <v>0</v>
      </c>
    </row>
    <row r="129" spans="1:28" ht="18" customHeight="1" thickBot="1" x14ac:dyDescent="0.25">
      <c r="D129" s="104"/>
      <c r="E129" s="104"/>
      <c r="L129" s="104"/>
      <c r="Q129" s="127">
        <f t="shared" si="15"/>
        <v>0</v>
      </c>
      <c r="R129" s="127">
        <f t="shared" si="16"/>
        <v>0</v>
      </c>
      <c r="S129" s="127">
        <f t="shared" si="17"/>
        <v>0</v>
      </c>
      <c r="U129" s="112" t="s">
        <v>330</v>
      </c>
      <c r="V129" s="113" t="s">
        <v>197</v>
      </c>
      <c r="W129" s="114">
        <f>W128</f>
        <v>0</v>
      </c>
      <c r="X129" s="115">
        <f>X128</f>
        <v>44</v>
      </c>
      <c r="Y129" s="120">
        <v>1</v>
      </c>
      <c r="Z129" s="115">
        <f>Y129+Z128+0.3</f>
        <v>15.3</v>
      </c>
      <c r="AA129" s="115">
        <f>AA128</f>
        <v>0</v>
      </c>
      <c r="AB129" s="116">
        <f>IF(V129="Torre Externa",(2*PI()*(Z128+0.3+Y129)*X129*Y129),IF(V129="Costado Interno",(2*PI()*(Z128-0.3)*Y129*X129),PI()*(Z128)^2*X129))*W129</f>
        <v>0</v>
      </c>
    </row>
    <row r="130" spans="1:28" ht="18" customHeight="1" thickBot="1" x14ac:dyDescent="0.25">
      <c r="L130" s="104"/>
      <c r="Q130" s="127">
        <f t="shared" si="15"/>
        <v>0</v>
      </c>
      <c r="R130" s="127">
        <f t="shared" si="16"/>
        <v>0</v>
      </c>
      <c r="S130" s="127">
        <f t="shared" si="17"/>
        <v>0</v>
      </c>
      <c r="U130" s="107" t="s">
        <v>327</v>
      </c>
      <c r="V130" s="108" t="s">
        <v>329</v>
      </c>
      <c r="W130" s="109">
        <v>0</v>
      </c>
      <c r="X130" s="110">
        <v>16</v>
      </c>
      <c r="Y130" s="121"/>
      <c r="Z130" s="110">
        <v>14</v>
      </c>
      <c r="AA130" s="117">
        <f>IF(W130=0,0,X130/2-1)</f>
        <v>0</v>
      </c>
      <c r="AB130" s="111">
        <f>((PI()*((Z130)^2)*X130))*W130</f>
        <v>0</v>
      </c>
    </row>
    <row r="131" spans="1:28" ht="18" customHeight="1" thickBot="1" x14ac:dyDescent="0.25">
      <c r="L131" s="104"/>
      <c r="Q131" s="127">
        <f t="shared" si="15"/>
        <v>0</v>
      </c>
      <c r="R131" s="127">
        <f t="shared" si="16"/>
        <v>0</v>
      </c>
      <c r="S131" s="127">
        <f t="shared" si="17"/>
        <v>0</v>
      </c>
      <c r="U131" s="112" t="s">
        <v>331</v>
      </c>
      <c r="V131" s="113" t="s">
        <v>197</v>
      </c>
      <c r="W131" s="119">
        <v>0</v>
      </c>
      <c r="X131" s="115">
        <f>X130</f>
        <v>16</v>
      </c>
      <c r="Y131" s="120">
        <v>1</v>
      </c>
      <c r="Z131" s="115">
        <f>Y131+Z130+0.3</f>
        <v>15.3</v>
      </c>
      <c r="AA131" s="118">
        <f>AA130</f>
        <v>0</v>
      </c>
      <c r="AB131" s="116">
        <f>IF(V131="Torre Externa",(2*PI()*(Z130+0.3+Y131)*X131*Y131),IF(V131="Costado Interno",(2*PI()*(Z130-0.3)*Y131*X131),PI()*(Z130)^2*X131))*W131</f>
        <v>0</v>
      </c>
    </row>
    <row r="132" spans="1:28" ht="18" customHeight="1" x14ac:dyDescent="0.2">
      <c r="L132" s="104"/>
      <c r="Q132" s="127">
        <f t="shared" si="15"/>
        <v>0</v>
      </c>
      <c r="R132" s="127">
        <f t="shared" si="16"/>
        <v>0</v>
      </c>
      <c r="S132" s="127">
        <f t="shared" si="17"/>
        <v>0</v>
      </c>
    </row>
    <row r="133" spans="1:28" ht="18" customHeight="1" x14ac:dyDescent="0.2">
      <c r="L133" s="104"/>
      <c r="Q133" s="127">
        <f t="shared" si="15"/>
        <v>0</v>
      </c>
      <c r="R133" s="127">
        <f t="shared" si="16"/>
        <v>0</v>
      </c>
      <c r="S133" s="127">
        <f t="shared" si="17"/>
        <v>0</v>
      </c>
    </row>
    <row r="134" spans="1:28" ht="18" customHeight="1" x14ac:dyDescent="0.2">
      <c r="L134" s="104"/>
      <c r="Q134" s="127">
        <f t="shared" si="15"/>
        <v>0</v>
      </c>
      <c r="R134" s="127">
        <f t="shared" si="16"/>
        <v>0</v>
      </c>
      <c r="S134" s="127">
        <f t="shared" si="17"/>
        <v>0</v>
      </c>
    </row>
    <row r="135" spans="1:28" ht="18" customHeight="1" x14ac:dyDescent="0.2">
      <c r="L135" s="104"/>
      <c r="Q135" s="127">
        <f t="shared" si="15"/>
        <v>0</v>
      </c>
      <c r="R135" s="127">
        <f t="shared" si="16"/>
        <v>0</v>
      </c>
      <c r="S135" s="127">
        <f t="shared" si="17"/>
        <v>0</v>
      </c>
    </row>
    <row r="136" spans="1:28" ht="18" customHeight="1" x14ac:dyDescent="0.2">
      <c r="L136" s="104"/>
      <c r="Q136" s="127">
        <f t="shared" si="15"/>
        <v>0</v>
      </c>
      <c r="R136" s="127">
        <f t="shared" si="16"/>
        <v>0</v>
      </c>
      <c r="S136" s="127">
        <f t="shared" si="17"/>
        <v>0</v>
      </c>
    </row>
    <row r="137" spans="1:28" ht="18" customHeight="1" x14ac:dyDescent="0.2">
      <c r="L137" s="104"/>
      <c r="Q137" s="127">
        <f t="shared" si="15"/>
        <v>0</v>
      </c>
      <c r="R137" s="127">
        <f t="shared" si="16"/>
        <v>0</v>
      </c>
      <c r="S137" s="127">
        <f t="shared" si="17"/>
        <v>0</v>
      </c>
    </row>
    <row r="138" spans="1:28" ht="18" customHeight="1" x14ac:dyDescent="0.2">
      <c r="A138" s="178"/>
      <c r="B138" s="179"/>
      <c r="C138" s="180"/>
      <c r="D138" s="180"/>
      <c r="E138" s="180"/>
      <c r="L138" s="104"/>
      <c r="Q138" s="127"/>
      <c r="R138" s="127"/>
      <c r="S138" s="127"/>
    </row>
    <row r="139" spans="1:28" ht="18" customHeight="1" x14ac:dyDescent="0.2">
      <c r="A139" s="178"/>
      <c r="B139" s="179"/>
      <c r="C139" s="180"/>
      <c r="D139" s="180"/>
      <c r="E139" s="180"/>
      <c r="L139" s="104"/>
      <c r="Q139" s="127"/>
      <c r="R139" s="127"/>
      <c r="S139" s="127"/>
    </row>
    <row r="140" spans="1:28" ht="18" customHeight="1" x14ac:dyDescent="0.2">
      <c r="A140" s="178"/>
      <c r="B140" s="179"/>
      <c r="C140" s="180"/>
      <c r="D140" s="180"/>
      <c r="E140" s="180"/>
      <c r="L140" s="104"/>
      <c r="Q140" s="127"/>
      <c r="R140" s="127"/>
      <c r="S140" s="127"/>
    </row>
    <row r="141" spans="1:28" ht="18" customHeight="1" x14ac:dyDescent="0.2">
      <c r="A141" s="178"/>
      <c r="B141" s="179"/>
      <c r="C141" s="180"/>
      <c r="D141" s="180"/>
      <c r="E141" s="180"/>
      <c r="L141" s="104"/>
      <c r="Q141" s="127"/>
      <c r="R141" s="127"/>
      <c r="S141" s="127"/>
    </row>
    <row r="142" spans="1:28" ht="18" customHeight="1" x14ac:dyDescent="0.2">
      <c r="A142" s="178"/>
      <c r="B142" s="179"/>
      <c r="C142" s="180"/>
      <c r="D142" s="180"/>
      <c r="E142" s="180"/>
      <c r="L142" s="104"/>
      <c r="Q142" s="127"/>
      <c r="R142" s="127"/>
      <c r="S142" s="127"/>
    </row>
    <row r="143" spans="1:28" ht="18" customHeight="1" x14ac:dyDescent="0.2">
      <c r="A143" s="178"/>
      <c r="B143" s="179"/>
      <c r="C143" s="180"/>
      <c r="D143" s="180"/>
      <c r="E143" s="180"/>
      <c r="L143" s="104"/>
      <c r="Q143" s="127"/>
      <c r="R143" s="127"/>
      <c r="S143" s="127"/>
    </row>
    <row r="144" spans="1:28" ht="18" customHeight="1" x14ac:dyDescent="0.2">
      <c r="A144" s="178"/>
      <c r="B144" s="179"/>
      <c r="C144" s="180"/>
      <c r="D144" s="180"/>
      <c r="E144" s="180"/>
      <c r="L144" s="104"/>
      <c r="Q144" s="127"/>
      <c r="R144" s="127"/>
      <c r="S144" s="127"/>
    </row>
    <row r="145" spans="1:19" ht="18" customHeight="1" x14ac:dyDescent="0.2">
      <c r="A145" s="178"/>
      <c r="B145" s="179"/>
      <c r="C145" s="180"/>
      <c r="D145" s="180"/>
      <c r="E145" s="180"/>
      <c r="L145" s="104"/>
      <c r="Q145" s="127"/>
      <c r="R145" s="127"/>
      <c r="S145" s="127"/>
    </row>
    <row r="146" spans="1:19" ht="18" customHeight="1" x14ac:dyDescent="0.2">
      <c r="A146" s="178"/>
      <c r="B146" s="179"/>
      <c r="C146" s="180"/>
      <c r="D146" s="180"/>
      <c r="E146" s="180"/>
      <c r="L146" s="104"/>
      <c r="Q146" s="127"/>
      <c r="R146" s="127"/>
      <c r="S146" s="127"/>
    </row>
    <row r="147" spans="1:19" ht="18" customHeight="1" x14ac:dyDescent="0.2">
      <c r="A147" s="178"/>
      <c r="B147" s="179"/>
      <c r="C147" s="180"/>
      <c r="D147" s="180"/>
      <c r="E147" s="180"/>
      <c r="L147" s="104"/>
      <c r="Q147" s="127"/>
      <c r="R147" s="127"/>
      <c r="S147" s="127"/>
    </row>
    <row r="148" spans="1:19" ht="18" customHeight="1" x14ac:dyDescent="0.2">
      <c r="A148" s="178"/>
      <c r="B148" s="179"/>
      <c r="C148" s="180"/>
      <c r="D148" s="180"/>
      <c r="E148" s="180"/>
      <c r="L148" s="104"/>
      <c r="Q148" s="127"/>
      <c r="R148" s="127"/>
      <c r="S148" s="127"/>
    </row>
    <row r="149" spans="1:19" ht="18" customHeight="1" x14ac:dyDescent="0.2">
      <c r="A149" s="178"/>
      <c r="B149" s="179"/>
      <c r="C149" s="180"/>
      <c r="D149" s="180"/>
      <c r="E149" s="180"/>
      <c r="L149" s="104"/>
      <c r="Q149" s="127"/>
      <c r="R149" s="127"/>
      <c r="S149" s="127"/>
    </row>
    <row r="150" spans="1:19" ht="18" customHeight="1" x14ac:dyDescent="0.2">
      <c r="A150" s="178"/>
      <c r="B150" s="179"/>
      <c r="C150" s="180"/>
      <c r="D150" s="180"/>
      <c r="E150" s="180"/>
      <c r="L150" s="104"/>
      <c r="Q150" s="127"/>
      <c r="R150" s="127"/>
      <c r="S150" s="127"/>
    </row>
    <row r="151" spans="1:19" ht="18" customHeight="1" x14ac:dyDescent="0.2">
      <c r="A151" s="178"/>
      <c r="B151" s="179"/>
      <c r="C151" s="180"/>
      <c r="D151" s="180"/>
      <c r="E151" s="180"/>
      <c r="L151" s="104"/>
      <c r="Q151" s="127"/>
      <c r="R151" s="127"/>
      <c r="S151" s="127"/>
    </row>
    <row r="152" spans="1:19" ht="18" customHeight="1" x14ac:dyDescent="0.2">
      <c r="A152" s="178"/>
      <c r="B152" s="179"/>
      <c r="C152" s="180"/>
      <c r="D152" s="180"/>
      <c r="E152" s="180"/>
      <c r="L152" s="104"/>
      <c r="Q152" s="127"/>
      <c r="R152" s="127"/>
      <c r="S152" s="127"/>
    </row>
    <row r="153" spans="1:19" ht="18" customHeight="1" x14ac:dyDescent="0.2">
      <c r="A153" s="178"/>
      <c r="B153" s="179"/>
      <c r="C153" s="180"/>
      <c r="D153" s="180"/>
      <c r="E153" s="180"/>
      <c r="L153" s="104"/>
      <c r="Q153" s="127"/>
      <c r="R153" s="127"/>
      <c r="S153" s="127"/>
    </row>
    <row r="154" spans="1:19" ht="18" customHeight="1" x14ac:dyDescent="0.2">
      <c r="A154" s="178"/>
      <c r="B154" s="179"/>
      <c r="C154" s="180"/>
      <c r="D154" s="180"/>
      <c r="E154" s="180"/>
      <c r="L154" s="104"/>
      <c r="Q154" s="127"/>
      <c r="R154" s="127"/>
      <c r="S154" s="127"/>
    </row>
    <row r="155" spans="1:19" ht="18" customHeight="1" x14ac:dyDescent="0.2">
      <c r="A155" s="178"/>
      <c r="B155" s="179"/>
      <c r="C155" s="180"/>
      <c r="D155" s="180"/>
      <c r="E155" s="180"/>
      <c r="L155" s="104"/>
      <c r="Q155" s="127"/>
      <c r="R155" s="127"/>
      <c r="S155" s="127"/>
    </row>
    <row r="156" spans="1:19" ht="18" customHeight="1" x14ac:dyDescent="0.2">
      <c r="A156" s="178"/>
      <c r="B156" s="179"/>
      <c r="C156" s="180"/>
      <c r="D156" s="180"/>
      <c r="E156" s="180"/>
      <c r="L156" s="104"/>
      <c r="Q156" s="127"/>
      <c r="R156" s="127"/>
      <c r="S156" s="127"/>
    </row>
    <row r="157" spans="1:19" ht="18" customHeight="1" x14ac:dyDescent="0.2">
      <c r="A157" s="178"/>
      <c r="B157" s="179"/>
      <c r="C157" s="180"/>
      <c r="D157" s="180"/>
      <c r="E157" s="180"/>
      <c r="L157" s="104"/>
      <c r="Q157" s="127"/>
      <c r="R157" s="127"/>
      <c r="S157" s="127"/>
    </row>
    <row r="158" spans="1:19" ht="18" customHeight="1" x14ac:dyDescent="0.2">
      <c r="L158" s="104"/>
      <c r="Q158" s="127" t="e">
        <f>((#REF!*#REF!)+(#REF!*#REF!))*2</f>
        <v>#REF!</v>
      </c>
      <c r="R158" s="127" t="e">
        <f>#REF!*#REF!*4</f>
        <v>#REF!</v>
      </c>
      <c r="S158" s="127" t="e">
        <f>#REF!*#REF!*#REF!*#REF!+#REF!*#REF!*#REF!</f>
        <v>#REF!</v>
      </c>
    </row>
    <row r="159" spans="1:19" ht="18" customHeight="1" x14ac:dyDescent="0.2">
      <c r="L159" s="104"/>
      <c r="Q159" s="127" t="e">
        <f>((#REF!*#REF!)+(#REF!*#REF!))*2</f>
        <v>#REF!</v>
      </c>
      <c r="R159" s="127" t="e">
        <f>#REF!*#REF!*4</f>
        <v>#REF!</v>
      </c>
      <c r="S159" s="127" t="e">
        <f>#REF!*#REF!*#REF!*#REF!+#REF!*#REF!*#REF!</f>
        <v>#REF!</v>
      </c>
    </row>
    <row r="160" spans="1:19" ht="18" customHeight="1" x14ac:dyDescent="0.2">
      <c r="E160" s="181"/>
      <c r="L160" s="104"/>
      <c r="Q160" s="128" t="e">
        <f>SUM(Q128:Q159)</f>
        <v>#REF!</v>
      </c>
      <c r="R160" s="128" t="e">
        <f>SUM(R128:R159)</f>
        <v>#REF!</v>
      </c>
      <c r="S160" s="128" t="e">
        <f>SUM(S128:S159)</f>
        <v>#REF!</v>
      </c>
    </row>
    <row r="161" spans="1:12" ht="18" customHeight="1" x14ac:dyDescent="0.2">
      <c r="E161" s="181" t="e">
        <f>F7*#REF!</f>
        <v>#REF!</v>
      </c>
      <c r="F161" s="140" t="e">
        <f>#REF!*6</f>
        <v>#REF!</v>
      </c>
    </row>
    <row r="162" spans="1:12" ht="18" customHeight="1" x14ac:dyDescent="0.2">
      <c r="F162" s="181" t="e">
        <f>E161/F161</f>
        <v>#REF!</v>
      </c>
    </row>
    <row r="163" spans="1:12" ht="18" customHeight="1" x14ac:dyDescent="0.2">
      <c r="F163" s="181" t="e">
        <f>F162/2</f>
        <v>#REF!</v>
      </c>
    </row>
    <row r="165" spans="1:12" ht="18" customHeight="1" x14ac:dyDescent="0.2">
      <c r="A165" s="182"/>
      <c r="B165" s="177"/>
      <c r="C165" s="177"/>
      <c r="D165" s="177"/>
    </row>
    <row r="166" spans="1:12" ht="18" customHeight="1" x14ac:dyDescent="0.2">
      <c r="A166" s="104"/>
      <c r="B166" s="104"/>
      <c r="C166" s="104"/>
      <c r="D166" s="104"/>
      <c r="E166" s="104"/>
    </row>
    <row r="167" spans="1:12" ht="18" customHeight="1" x14ac:dyDescent="0.2">
      <c r="A167" s="104"/>
      <c r="B167" s="104"/>
      <c r="C167" s="104"/>
      <c r="D167" s="104"/>
      <c r="E167" s="104"/>
    </row>
    <row r="168" spans="1:12" ht="18" customHeight="1" x14ac:dyDescent="0.2">
      <c r="A168" s="104"/>
      <c r="B168" s="104"/>
      <c r="C168" s="104"/>
      <c r="D168" s="104"/>
      <c r="E168" s="104"/>
      <c r="L168" s="104"/>
    </row>
    <row r="169" spans="1:12" ht="18" customHeight="1" x14ac:dyDescent="0.2">
      <c r="A169" s="104"/>
      <c r="B169" s="104"/>
      <c r="C169" s="104"/>
      <c r="D169" s="104"/>
      <c r="E169" s="104"/>
      <c r="L169" s="104"/>
    </row>
    <row r="170" spans="1:12" ht="18" customHeight="1" x14ac:dyDescent="0.2">
      <c r="A170" s="104"/>
      <c r="B170" s="104"/>
      <c r="C170" s="104"/>
      <c r="D170" s="104"/>
      <c r="E170" s="104"/>
      <c r="L170" s="104"/>
    </row>
    <row r="171" spans="1:12" ht="18" customHeight="1" x14ac:dyDescent="0.2">
      <c r="A171" s="104"/>
      <c r="B171" s="104"/>
      <c r="C171" s="104"/>
      <c r="D171" s="104"/>
      <c r="E171" s="104"/>
      <c r="L171" s="104"/>
    </row>
    <row r="172" spans="1:12" ht="18" customHeight="1" x14ac:dyDescent="0.2">
      <c r="A172" s="104"/>
      <c r="B172" s="104"/>
      <c r="C172" s="104"/>
      <c r="D172" s="104"/>
      <c r="E172" s="104"/>
      <c r="L172" s="104"/>
    </row>
    <row r="173" spans="1:12" ht="18" customHeight="1" x14ac:dyDescent="0.2">
      <c r="L173" s="104"/>
    </row>
    <row r="174" spans="1:12" ht="18" customHeight="1" x14ac:dyDescent="0.2">
      <c r="A174" s="104"/>
      <c r="B174" s="104"/>
      <c r="C174" s="104"/>
      <c r="D174" s="104"/>
      <c r="E174" s="104"/>
      <c r="F174" s="104"/>
      <c r="G174" s="104"/>
      <c r="H174" s="104"/>
      <c r="L174" s="104"/>
    </row>
    <row r="175" spans="1:12" ht="18" customHeight="1" x14ac:dyDescent="0.2">
      <c r="A175" s="104"/>
      <c r="B175" s="104"/>
      <c r="C175" s="104"/>
      <c r="D175" s="104"/>
      <c r="E175" s="104"/>
      <c r="F175" s="104"/>
      <c r="G175" s="104"/>
      <c r="H175" s="104"/>
      <c r="L175" s="104"/>
    </row>
    <row r="176" spans="1:12" ht="18" customHeight="1" x14ac:dyDescent="0.2">
      <c r="A176" s="104"/>
      <c r="B176" s="104"/>
      <c r="C176" s="104"/>
      <c r="D176" s="104"/>
      <c r="E176" s="104"/>
      <c r="F176" s="104"/>
      <c r="G176" s="104"/>
      <c r="H176" s="104"/>
      <c r="L176" s="104"/>
    </row>
    <row r="177" spans="9:10" s="104" customFormat="1" ht="18" customHeight="1" x14ac:dyDescent="0.2">
      <c r="I177" s="140"/>
      <c r="J177" s="140"/>
    </row>
    <row r="178" spans="9:10" s="104" customFormat="1" ht="18" customHeight="1" x14ac:dyDescent="0.2">
      <c r="I178" s="140"/>
      <c r="J178" s="140"/>
    </row>
    <row r="179" spans="9:10" s="104" customFormat="1" ht="18" customHeight="1" x14ac:dyDescent="0.2">
      <c r="I179" s="140"/>
      <c r="J179" s="140"/>
    </row>
    <row r="180" spans="9:10" s="104" customFormat="1" ht="18" customHeight="1" x14ac:dyDescent="0.2">
      <c r="I180" s="140"/>
      <c r="J180" s="140"/>
    </row>
    <row r="181" spans="9:10" s="104" customFormat="1" ht="18" customHeight="1" x14ac:dyDescent="0.2">
      <c r="I181" s="140"/>
      <c r="J181" s="140"/>
    </row>
    <row r="182" spans="9:10" s="104" customFormat="1" ht="18" customHeight="1" x14ac:dyDescent="0.2">
      <c r="I182" s="140"/>
      <c r="J182" s="140"/>
    </row>
    <row r="183" spans="9:10" s="104" customFormat="1" ht="18" customHeight="1" x14ac:dyDescent="0.2">
      <c r="I183" s="140"/>
      <c r="J183" s="140"/>
    </row>
    <row r="184" spans="9:10" s="104" customFormat="1" ht="18" customHeight="1" x14ac:dyDescent="0.2">
      <c r="I184" s="140"/>
      <c r="J184" s="140"/>
    </row>
    <row r="185" spans="9:10" s="104" customFormat="1" ht="18" customHeight="1" x14ac:dyDescent="0.2">
      <c r="I185" s="140"/>
      <c r="J185" s="140"/>
    </row>
    <row r="186" spans="9:10" s="104" customFormat="1" ht="18" customHeight="1" x14ac:dyDescent="0.2">
      <c r="I186" s="140"/>
      <c r="J186" s="140"/>
    </row>
    <row r="187" spans="9:10" s="104" customFormat="1" ht="18" customHeight="1" x14ac:dyDescent="0.2">
      <c r="I187" s="140"/>
      <c r="J187" s="140"/>
    </row>
    <row r="188" spans="9:10" s="104" customFormat="1" ht="18" customHeight="1" x14ac:dyDescent="0.2">
      <c r="I188" s="140"/>
      <c r="J188" s="140"/>
    </row>
    <row r="189" spans="9:10" s="104" customFormat="1" ht="18" customHeight="1" x14ac:dyDescent="0.2">
      <c r="I189" s="140"/>
      <c r="J189" s="140"/>
    </row>
    <row r="190" spans="9:10" s="104" customFormat="1" ht="18" customHeight="1" x14ac:dyDescent="0.2">
      <c r="I190" s="140"/>
      <c r="J190" s="140"/>
    </row>
    <row r="191" spans="9:10" s="104" customFormat="1" ht="18" customHeight="1" x14ac:dyDescent="0.2">
      <c r="I191" s="140"/>
      <c r="J191" s="140"/>
    </row>
    <row r="192" spans="9:10" s="104" customFormat="1" ht="18" customHeight="1" x14ac:dyDescent="0.2">
      <c r="I192" s="140"/>
      <c r="J192" s="140"/>
    </row>
    <row r="193" spans="1:12" ht="18" customHeight="1" x14ac:dyDescent="0.2">
      <c r="A193" s="104"/>
      <c r="B193" s="104"/>
      <c r="C193" s="104"/>
      <c r="D193" s="104"/>
      <c r="E193" s="104"/>
      <c r="F193" s="104"/>
      <c r="G193" s="104"/>
      <c r="H193" s="104"/>
      <c r="L193" s="104"/>
    </row>
    <row r="194" spans="1:12" ht="18" customHeight="1" x14ac:dyDescent="0.2">
      <c r="A194" s="104"/>
      <c r="B194" s="104"/>
      <c r="C194" s="104"/>
      <c r="D194" s="104"/>
      <c r="E194" s="104"/>
      <c r="F194" s="104"/>
      <c r="G194" s="104"/>
      <c r="H194" s="104"/>
      <c r="L194" s="104"/>
    </row>
    <row r="195" spans="1:12" ht="18" customHeight="1" x14ac:dyDescent="0.2">
      <c r="A195" s="104"/>
      <c r="B195" s="104"/>
      <c r="C195" s="104"/>
      <c r="D195" s="104"/>
      <c r="E195" s="104"/>
      <c r="F195" s="104"/>
      <c r="G195" s="104"/>
      <c r="H195" s="104"/>
      <c r="L195" s="104"/>
    </row>
    <row r="196" spans="1:12" ht="18" customHeight="1" x14ac:dyDescent="0.2">
      <c r="A196" s="104"/>
      <c r="B196" s="104"/>
      <c r="C196" s="104"/>
      <c r="D196" s="104"/>
      <c r="E196" s="104"/>
      <c r="F196" s="104"/>
      <c r="G196" s="104"/>
      <c r="H196" s="104"/>
      <c r="L196" s="104"/>
    </row>
    <row r="197" spans="1:12" ht="18" customHeight="1" x14ac:dyDescent="0.2">
      <c r="A197" s="104"/>
      <c r="B197" s="104"/>
      <c r="C197" s="104"/>
      <c r="D197" s="104"/>
      <c r="E197" s="104"/>
      <c r="F197" s="104"/>
      <c r="G197" s="104"/>
      <c r="H197" s="104"/>
      <c r="L197" s="104"/>
    </row>
    <row r="198" spans="1:12" ht="18" customHeight="1" x14ac:dyDescent="0.2">
      <c r="A198" s="104"/>
      <c r="B198" s="104"/>
      <c r="C198" s="104"/>
      <c r="D198" s="104"/>
      <c r="E198" s="104"/>
      <c r="F198" s="104"/>
      <c r="G198" s="104"/>
      <c r="H198" s="104"/>
      <c r="L198" s="104"/>
    </row>
    <row r="199" spans="1:12" ht="18" customHeight="1" x14ac:dyDescent="0.2">
      <c r="A199" s="104"/>
      <c r="B199" s="104"/>
      <c r="C199" s="104"/>
      <c r="D199" s="104"/>
      <c r="E199" s="104"/>
      <c r="F199" s="104"/>
      <c r="G199" s="104"/>
      <c r="H199" s="104"/>
      <c r="L199" s="104"/>
    </row>
    <row r="200" spans="1:12" ht="18" customHeight="1" x14ac:dyDescent="0.2">
      <c r="A200" s="104"/>
      <c r="B200" s="104"/>
      <c r="C200" s="104"/>
      <c r="D200" s="104"/>
      <c r="E200" s="104"/>
      <c r="F200" s="104"/>
      <c r="G200" s="104"/>
      <c r="H200" s="104"/>
      <c r="L200" s="104"/>
    </row>
    <row r="201" spans="1:12" ht="18" customHeight="1" x14ac:dyDescent="0.2">
      <c r="L201" s="104"/>
    </row>
    <row r="202" spans="1:12" ht="18" customHeight="1" x14ac:dyDescent="0.2">
      <c r="E202" s="181">
        <f>H18+H80</f>
        <v>2072070.0999999999</v>
      </c>
      <c r="L202" s="104"/>
    </row>
    <row r="203" spans="1:12" ht="18" customHeight="1" x14ac:dyDescent="0.2">
      <c r="L203" s="104"/>
    </row>
    <row r="204" spans="1:12" ht="18" customHeight="1" x14ac:dyDescent="0.2">
      <c r="L204" s="104"/>
    </row>
    <row r="205" spans="1:12" ht="18" customHeight="1" x14ac:dyDescent="0.2">
      <c r="L205" s="104"/>
    </row>
  </sheetData>
  <autoFilter ref="A84:AI117" xr:uid="{83A55667-90CC-4F10-A24C-F3399454A0AF}"/>
  <mergeCells count="7">
    <mergeCell ref="A13:B13"/>
    <mergeCell ref="D18:G18"/>
    <mergeCell ref="A80:C80"/>
    <mergeCell ref="A83:J83"/>
    <mergeCell ref="U126:AC126"/>
    <mergeCell ref="A117:C117"/>
    <mergeCell ref="E117:I117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D27:E27 B70 E26 D29:E29 E28 D31:E31 E30 D33:E33 E32 D35:E35 E34 D37:E37 E36 D39:E39 E38 D41:E41 E40 D43:E43 E42 D45:E45 E44 D47:E47 E46 D49:E49 E48 D51:E51 E50 D53:E53 E52 D55:E55 E54 D57:E57 E56 D59:E59 E58 D61:E61 E60 D63:E63 E62 D65:E65 E64 B71:B78 A70:A77 A30:A65 B30:B65 B66:B68 D78 D76 D74 D72 E76:E77 E74:E75 E72:E73 E70:E71 E78 D67:F69 D79:F79 F78 D77 D70:D71 F70:F71 D73 F72:F73 D75 F74:F75 F76:F77 E66 J108:J115" 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22357EC4-95A8-4CFF-857F-C2FA5D187B8D}">
          <x14:formula1>
            <xm:f>'Tabela Dados'!$O$7:$O$8</xm:f>
          </x14:formula1>
          <xm:sqref>B4</xm:sqref>
        </x14:dataValidation>
        <x14:dataValidation type="list" allowBlank="1" showInputMessage="1" showErrorMessage="1" xr:uid="{5A281AB9-3526-4F56-BFDF-444106439B4D}">
          <x14:formula1>
            <xm:f>'Tabela Dados'!$N$1:$N$4</xm:f>
          </x14:formula1>
          <xm:sqref>B1 B24</xm:sqref>
        </x14:dataValidation>
        <x14:dataValidation type="list" allowBlank="1" showInputMessage="1" showErrorMessage="1" xr:uid="{8809403B-4E5A-4BBF-A9D2-5BD64AC1D357}">
          <x14:formula1>
            <xm:f>'Tabela Dados'!$P$2:$P$3</xm:f>
          </x14:formula1>
          <xm:sqref>B2:B3 B5</xm:sqref>
        </x14:dataValidation>
        <x14:dataValidation type="list" allowBlank="1" showInputMessage="1" showErrorMessage="1" xr:uid="{68949A17-5946-4883-8668-B9BF14FED216}">
          <x14:formula1>
            <xm:f>'Tabela Dados'!$Q$4:$Q$6</xm:f>
          </x14:formula1>
          <xm:sqref>V129 V131 C108 C110 C112 C114 C116</xm:sqref>
        </x14:dataValidation>
        <x14:dataValidation type="list" allowBlank="1" showInputMessage="1" showErrorMessage="1" xr:uid="{D4010036-2D22-49B1-87E2-CA1106C0B463}">
          <x14:formula1>
            <xm:f>'Tabela Dados'!$Q$1:$Q$7</xm:f>
          </x14:formula1>
          <xm:sqref>C85:C106</xm:sqref>
        </x14:dataValidation>
        <x14:dataValidation type="list" allowBlank="1" showInputMessage="1" showErrorMessage="1" xr:uid="{0CECCEB2-75ED-4093-9876-69BB8CE5F07A}">
          <x14:formula1>
            <xm:f>'Tabela Dados'!$G$16:$G$20</xm:f>
          </x14:formula1>
          <xm:sqref>D2:D6 M2:M6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11DF-FDB2-47A0-A3C0-1E64541ACF36}">
  <dimension ref="A1:L92"/>
  <sheetViews>
    <sheetView topLeftCell="D1" zoomScale="130" zoomScaleNormal="130" workbookViewId="0">
      <selection activeCell="E6" sqref="E6"/>
    </sheetView>
  </sheetViews>
  <sheetFormatPr defaultColWidth="25.85546875" defaultRowHeight="15" x14ac:dyDescent="0.25"/>
  <cols>
    <col min="1" max="1" width="5" bestFit="1" customWidth="1"/>
    <col min="2" max="2" width="55" customWidth="1"/>
    <col min="3" max="3" width="5.7109375" bestFit="1" customWidth="1"/>
    <col min="4" max="4" width="13.7109375" bestFit="1" customWidth="1"/>
    <col min="6" max="6" width="5" bestFit="1" customWidth="1"/>
    <col min="7" max="7" width="41.85546875" style="419" bestFit="1" customWidth="1"/>
    <col min="8" max="8" width="5.140625" style="419" bestFit="1" customWidth="1"/>
    <col min="9" max="9" width="15.5703125" style="420" customWidth="1"/>
  </cols>
  <sheetData>
    <row r="1" spans="1:12" ht="39" thickBot="1" x14ac:dyDescent="0.3">
      <c r="A1" s="412" t="s">
        <v>12</v>
      </c>
      <c r="B1" s="413" t="s">
        <v>152</v>
      </c>
      <c r="C1" s="413" t="s">
        <v>399</v>
      </c>
      <c r="D1" s="413" t="s">
        <v>400</v>
      </c>
      <c r="F1" s="428" t="s">
        <v>12</v>
      </c>
      <c r="G1" s="429" t="s">
        <v>152</v>
      </c>
      <c r="H1" s="429" t="s">
        <v>122</v>
      </c>
      <c r="I1" s="430" t="s">
        <v>434</v>
      </c>
      <c r="K1" s="246" t="s">
        <v>434</v>
      </c>
      <c r="L1" s="247" t="s">
        <v>123</v>
      </c>
    </row>
    <row r="2" spans="1:12" ht="15.75" thickBot="1" x14ac:dyDescent="0.3">
      <c r="A2" s="414">
        <v>1</v>
      </c>
      <c r="B2" s="415" t="s">
        <v>401</v>
      </c>
      <c r="C2" s="415" t="s">
        <v>82</v>
      </c>
      <c r="D2" s="417">
        <v>57</v>
      </c>
      <c r="F2" s="424">
        <v>1</v>
      </c>
      <c r="G2" s="425" t="s">
        <v>447</v>
      </c>
      <c r="H2" s="426" t="s">
        <v>419</v>
      </c>
      <c r="I2" s="427">
        <v>64.98</v>
      </c>
      <c r="K2" s="416">
        <f t="shared" ref="K2:K24" si="0">L2*$D$31</f>
        <v>70</v>
      </c>
      <c r="L2" s="251">
        <v>0.5</v>
      </c>
    </row>
    <row r="3" spans="1:12" ht="15.75" thickBot="1" x14ac:dyDescent="0.3">
      <c r="A3" s="414">
        <v>2</v>
      </c>
      <c r="B3" s="415" t="s">
        <v>402</v>
      </c>
      <c r="C3" s="415" t="s">
        <v>82</v>
      </c>
      <c r="D3" s="417">
        <v>57</v>
      </c>
      <c r="F3" s="421">
        <f t="shared" ref="F3:F34" si="1">F2+1</f>
        <v>2</v>
      </c>
      <c r="G3" s="422" t="s">
        <v>448</v>
      </c>
      <c r="H3" s="418" t="s">
        <v>419</v>
      </c>
      <c r="I3" s="423">
        <v>64.98</v>
      </c>
      <c r="K3" s="416">
        <f t="shared" si="0"/>
        <v>105</v>
      </c>
      <c r="L3" s="295">
        <v>0.75</v>
      </c>
    </row>
    <row r="4" spans="1:12" ht="15.75" thickBot="1" x14ac:dyDescent="0.3">
      <c r="A4" s="414">
        <v>3</v>
      </c>
      <c r="B4" s="415" t="s">
        <v>403</v>
      </c>
      <c r="C4" s="415" t="s">
        <v>82</v>
      </c>
      <c r="D4" s="417">
        <v>57</v>
      </c>
      <c r="F4" s="424">
        <f t="shared" si="1"/>
        <v>3</v>
      </c>
      <c r="G4" s="425" t="s">
        <v>441</v>
      </c>
      <c r="H4" s="426" t="s">
        <v>419</v>
      </c>
      <c r="I4" s="427">
        <v>3.9899999999999998</v>
      </c>
      <c r="K4" s="416">
        <f t="shared" si="0"/>
        <v>140</v>
      </c>
      <c r="L4" s="251">
        <v>1</v>
      </c>
    </row>
    <row r="5" spans="1:12" ht="15.75" thickBot="1" x14ac:dyDescent="0.3">
      <c r="A5" s="414">
        <v>4</v>
      </c>
      <c r="B5" s="415" t="s">
        <v>404</v>
      </c>
      <c r="C5" s="415" t="s">
        <v>82</v>
      </c>
      <c r="D5" s="417">
        <v>48</v>
      </c>
      <c r="F5" s="421">
        <f t="shared" si="1"/>
        <v>4</v>
      </c>
      <c r="G5" s="422" t="s">
        <v>451</v>
      </c>
      <c r="H5" s="418" t="s">
        <v>419</v>
      </c>
      <c r="I5" s="423">
        <v>188.1</v>
      </c>
      <c r="K5" s="416">
        <f t="shared" si="0"/>
        <v>175</v>
      </c>
      <c r="L5" s="295">
        <v>1.25</v>
      </c>
    </row>
    <row r="6" spans="1:12" ht="15.75" thickBot="1" x14ac:dyDescent="0.3">
      <c r="A6" s="414">
        <v>5</v>
      </c>
      <c r="B6" s="415" t="s">
        <v>405</v>
      </c>
      <c r="C6" s="415" t="s">
        <v>82</v>
      </c>
      <c r="D6" s="417">
        <v>3.5</v>
      </c>
      <c r="F6" s="424">
        <f t="shared" si="1"/>
        <v>5</v>
      </c>
      <c r="G6" s="425" t="s">
        <v>450</v>
      </c>
      <c r="H6" s="426" t="s">
        <v>419</v>
      </c>
      <c r="I6" s="427">
        <v>119.7</v>
      </c>
      <c r="K6" s="416">
        <f t="shared" si="0"/>
        <v>210</v>
      </c>
      <c r="L6" s="251">
        <v>1.5</v>
      </c>
    </row>
    <row r="7" spans="1:12" ht="15.75" thickBot="1" x14ac:dyDescent="0.3">
      <c r="A7" s="414">
        <v>6</v>
      </c>
      <c r="B7" s="415" t="s">
        <v>406</v>
      </c>
      <c r="C7" s="415" t="s">
        <v>82</v>
      </c>
      <c r="D7" s="417">
        <v>52</v>
      </c>
      <c r="F7" s="421">
        <f t="shared" si="1"/>
        <v>6</v>
      </c>
      <c r="G7" s="422" t="s">
        <v>449</v>
      </c>
      <c r="H7" s="418" t="s">
        <v>419</v>
      </c>
      <c r="I7" s="423">
        <v>188.1</v>
      </c>
      <c r="K7" s="416">
        <f t="shared" si="0"/>
        <v>245</v>
      </c>
      <c r="L7" s="295">
        <v>1.75</v>
      </c>
    </row>
    <row r="8" spans="1:12" ht="15.75" thickBot="1" x14ac:dyDescent="0.3">
      <c r="A8" s="414">
        <v>7</v>
      </c>
      <c r="B8" s="415" t="s">
        <v>407</v>
      </c>
      <c r="C8" s="415" t="s">
        <v>82</v>
      </c>
      <c r="D8" s="417">
        <v>105</v>
      </c>
      <c r="F8" s="424">
        <f t="shared" si="1"/>
        <v>7</v>
      </c>
      <c r="G8" s="425" t="s">
        <v>88</v>
      </c>
      <c r="H8" s="426" t="s">
        <v>419</v>
      </c>
      <c r="I8" s="427">
        <v>59.28</v>
      </c>
      <c r="K8" s="416">
        <f t="shared" si="0"/>
        <v>280</v>
      </c>
      <c r="L8" s="251">
        <v>2</v>
      </c>
    </row>
    <row r="9" spans="1:12" ht="15.75" thickBot="1" x14ac:dyDescent="0.3">
      <c r="A9" s="414">
        <v>8</v>
      </c>
      <c r="B9" s="415" t="s">
        <v>408</v>
      </c>
      <c r="C9" s="415" t="s">
        <v>82</v>
      </c>
      <c r="D9" s="417">
        <v>13</v>
      </c>
      <c r="F9" s="421">
        <f t="shared" si="1"/>
        <v>8</v>
      </c>
      <c r="G9" s="422" t="s">
        <v>89</v>
      </c>
      <c r="H9" s="418" t="s">
        <v>419</v>
      </c>
      <c r="I9" s="423">
        <v>119.7</v>
      </c>
      <c r="K9" s="416">
        <f t="shared" si="0"/>
        <v>315</v>
      </c>
      <c r="L9" s="295">
        <v>2.25</v>
      </c>
    </row>
    <row r="10" spans="1:12" ht="15.75" thickBot="1" x14ac:dyDescent="0.3">
      <c r="A10" s="414">
        <v>9</v>
      </c>
      <c r="B10" s="415" t="s">
        <v>409</v>
      </c>
      <c r="C10" s="415" t="s">
        <v>82</v>
      </c>
      <c r="D10" s="417">
        <v>105</v>
      </c>
      <c r="F10" s="424">
        <f t="shared" si="1"/>
        <v>9</v>
      </c>
      <c r="G10" s="425" t="s">
        <v>245</v>
      </c>
      <c r="H10" s="426" t="s">
        <v>93</v>
      </c>
      <c r="I10" s="427">
        <v>119.7</v>
      </c>
      <c r="K10" s="416">
        <f t="shared" si="0"/>
        <v>350</v>
      </c>
      <c r="L10" s="251">
        <v>2.5</v>
      </c>
    </row>
    <row r="11" spans="1:12" ht="15.75" thickBot="1" x14ac:dyDescent="0.3">
      <c r="A11" s="414">
        <v>10</v>
      </c>
      <c r="B11" s="415" t="s">
        <v>410</v>
      </c>
      <c r="C11" s="415" t="s">
        <v>82</v>
      </c>
      <c r="D11" s="417">
        <v>165</v>
      </c>
      <c r="F11" s="421">
        <f t="shared" si="1"/>
        <v>10</v>
      </c>
      <c r="G11" s="422" t="s">
        <v>446</v>
      </c>
      <c r="H11" s="418" t="s">
        <v>419</v>
      </c>
      <c r="I11" s="423">
        <v>6</v>
      </c>
      <c r="K11" s="416">
        <f t="shared" si="0"/>
        <v>385</v>
      </c>
      <c r="L11" s="295">
        <v>2.75</v>
      </c>
    </row>
    <row r="12" spans="1:12" ht="15.75" thickBot="1" x14ac:dyDescent="0.3">
      <c r="A12" s="414">
        <v>11</v>
      </c>
      <c r="B12" s="415" t="s">
        <v>411</v>
      </c>
      <c r="C12" s="415" t="s">
        <v>82</v>
      </c>
      <c r="D12" s="417">
        <v>105</v>
      </c>
      <c r="F12" s="424">
        <f t="shared" si="1"/>
        <v>11</v>
      </c>
      <c r="G12" s="425" t="s">
        <v>445</v>
      </c>
      <c r="H12" s="426" t="s">
        <v>419</v>
      </c>
      <c r="I12" s="427">
        <v>444.59999999999997</v>
      </c>
      <c r="K12" s="416">
        <f t="shared" si="0"/>
        <v>420</v>
      </c>
      <c r="L12" s="251">
        <v>3</v>
      </c>
    </row>
    <row r="13" spans="1:12" ht="15.75" thickBot="1" x14ac:dyDescent="0.3">
      <c r="A13" s="414">
        <v>12</v>
      </c>
      <c r="B13" s="415" t="s">
        <v>412</v>
      </c>
      <c r="C13" s="415" t="s">
        <v>82</v>
      </c>
      <c r="D13" s="417">
        <v>280</v>
      </c>
      <c r="F13" s="421">
        <f t="shared" si="1"/>
        <v>12</v>
      </c>
      <c r="G13" s="422" t="s">
        <v>443</v>
      </c>
      <c r="H13" s="418" t="s">
        <v>419</v>
      </c>
      <c r="I13" s="423">
        <v>15.503999999999998</v>
      </c>
      <c r="K13" s="416">
        <f t="shared" si="0"/>
        <v>455</v>
      </c>
      <c r="L13" s="295">
        <v>3.25</v>
      </c>
    </row>
    <row r="14" spans="1:12" ht="15.75" thickBot="1" x14ac:dyDescent="0.3">
      <c r="A14" s="414">
        <v>13</v>
      </c>
      <c r="B14" s="415" t="s">
        <v>413</v>
      </c>
      <c r="C14" s="415" t="s">
        <v>414</v>
      </c>
      <c r="D14" s="417">
        <v>340</v>
      </c>
      <c r="F14" s="424">
        <f t="shared" si="1"/>
        <v>13</v>
      </c>
      <c r="G14" s="425" t="s">
        <v>442</v>
      </c>
      <c r="H14" s="426" t="s">
        <v>419</v>
      </c>
      <c r="I14" s="427">
        <v>14.819999999999999</v>
      </c>
      <c r="K14" s="416">
        <f t="shared" si="0"/>
        <v>490</v>
      </c>
      <c r="L14" s="251">
        <v>3.5</v>
      </c>
    </row>
    <row r="15" spans="1:12" ht="15.75" thickBot="1" x14ac:dyDescent="0.3">
      <c r="A15" s="414">
        <v>14</v>
      </c>
      <c r="B15" s="415" t="s">
        <v>415</v>
      </c>
      <c r="C15" s="415" t="s">
        <v>82</v>
      </c>
      <c r="D15" s="417">
        <v>260</v>
      </c>
      <c r="F15" s="421">
        <f t="shared" si="1"/>
        <v>14</v>
      </c>
      <c r="G15" s="422" t="s">
        <v>247</v>
      </c>
      <c r="H15" s="418" t="s">
        <v>419</v>
      </c>
      <c r="I15" s="423">
        <v>239.4</v>
      </c>
      <c r="K15" s="416">
        <f t="shared" si="0"/>
        <v>525</v>
      </c>
      <c r="L15" s="295">
        <v>3.75</v>
      </c>
    </row>
    <row r="16" spans="1:12" ht="15.75" thickBot="1" x14ac:dyDescent="0.3">
      <c r="A16" s="414">
        <v>15</v>
      </c>
      <c r="B16" s="415" t="s">
        <v>416</v>
      </c>
      <c r="C16" s="415" t="s">
        <v>82</v>
      </c>
      <c r="D16" s="417">
        <v>380</v>
      </c>
      <c r="F16" s="424">
        <f t="shared" si="1"/>
        <v>15</v>
      </c>
      <c r="G16" s="425" t="s">
        <v>150</v>
      </c>
      <c r="H16" s="426" t="s">
        <v>419</v>
      </c>
      <c r="I16" s="427">
        <v>119.7</v>
      </c>
      <c r="K16" s="416">
        <f t="shared" si="0"/>
        <v>560</v>
      </c>
      <c r="L16" s="251">
        <v>4</v>
      </c>
    </row>
    <row r="17" spans="1:12" ht="15.75" thickBot="1" x14ac:dyDescent="0.3">
      <c r="A17" s="414">
        <v>16</v>
      </c>
      <c r="B17" s="415" t="s">
        <v>417</v>
      </c>
      <c r="C17" s="415" t="s">
        <v>82</v>
      </c>
      <c r="D17" s="417">
        <v>165</v>
      </c>
      <c r="F17" s="421">
        <f t="shared" si="1"/>
        <v>16</v>
      </c>
      <c r="G17" s="422" t="s">
        <v>455</v>
      </c>
      <c r="H17" s="418" t="s">
        <v>419</v>
      </c>
      <c r="I17" s="423">
        <v>9</v>
      </c>
      <c r="K17" s="416">
        <f t="shared" si="0"/>
        <v>595</v>
      </c>
      <c r="L17" s="295">
        <v>4.25</v>
      </c>
    </row>
    <row r="18" spans="1:12" ht="15.75" thickBot="1" x14ac:dyDescent="0.3">
      <c r="A18" s="414">
        <v>17</v>
      </c>
      <c r="B18" s="415" t="s">
        <v>418</v>
      </c>
      <c r="C18" s="415" t="s">
        <v>419</v>
      </c>
      <c r="D18" s="417">
        <v>8</v>
      </c>
      <c r="F18" s="424">
        <f t="shared" si="1"/>
        <v>17</v>
      </c>
      <c r="G18" s="425" t="s">
        <v>241</v>
      </c>
      <c r="H18" s="426" t="s">
        <v>34</v>
      </c>
      <c r="I18" s="427">
        <v>899.23</v>
      </c>
      <c r="K18" s="416">
        <f t="shared" si="0"/>
        <v>630</v>
      </c>
      <c r="L18" s="251">
        <v>4.5</v>
      </c>
    </row>
    <row r="19" spans="1:12" ht="15.75" thickBot="1" x14ac:dyDescent="0.3">
      <c r="A19" s="414">
        <v>18</v>
      </c>
      <c r="B19" s="415" t="s">
        <v>420</v>
      </c>
      <c r="C19" s="415" t="s">
        <v>414</v>
      </c>
      <c r="D19" s="417">
        <v>290</v>
      </c>
      <c r="F19" s="421">
        <f t="shared" si="1"/>
        <v>18</v>
      </c>
      <c r="G19" s="422" t="s">
        <v>242</v>
      </c>
      <c r="H19" s="418" t="s">
        <v>34</v>
      </c>
      <c r="I19" s="423">
        <v>1007.76</v>
      </c>
      <c r="K19" s="416">
        <f t="shared" si="0"/>
        <v>665</v>
      </c>
      <c r="L19" s="295">
        <v>4.75</v>
      </c>
    </row>
    <row r="20" spans="1:12" ht="15.75" thickBot="1" x14ac:dyDescent="0.3">
      <c r="A20" s="414">
        <v>19</v>
      </c>
      <c r="B20" s="415" t="s">
        <v>421</v>
      </c>
      <c r="C20" s="415" t="s">
        <v>414</v>
      </c>
      <c r="D20" s="417">
        <v>70</v>
      </c>
      <c r="F20" s="424">
        <f t="shared" si="1"/>
        <v>19</v>
      </c>
      <c r="G20" s="425" t="s">
        <v>243</v>
      </c>
      <c r="H20" s="426" t="s">
        <v>34</v>
      </c>
      <c r="I20" s="427">
        <v>1143.42</v>
      </c>
      <c r="K20" s="416">
        <f t="shared" si="0"/>
        <v>700</v>
      </c>
      <c r="L20" s="251">
        <v>5</v>
      </c>
    </row>
    <row r="21" spans="1:12" ht="15.75" thickBot="1" x14ac:dyDescent="0.3">
      <c r="A21" s="414">
        <v>20</v>
      </c>
      <c r="B21" s="415" t="s">
        <v>422</v>
      </c>
      <c r="C21" s="415" t="s">
        <v>414</v>
      </c>
      <c r="D21" s="417">
        <v>6</v>
      </c>
      <c r="F21" s="421">
        <f t="shared" si="1"/>
        <v>20</v>
      </c>
      <c r="G21" s="422" t="s">
        <v>244</v>
      </c>
      <c r="H21" s="418" t="s">
        <v>34</v>
      </c>
      <c r="I21" s="423">
        <v>1193.81</v>
      </c>
      <c r="K21" s="416">
        <f t="shared" si="0"/>
        <v>735</v>
      </c>
      <c r="L21" s="295">
        <v>5.25</v>
      </c>
    </row>
    <row r="22" spans="1:12" ht="15.75" thickBot="1" x14ac:dyDescent="0.3">
      <c r="A22" s="414">
        <v>21</v>
      </c>
      <c r="B22" s="415" t="s">
        <v>423</v>
      </c>
      <c r="C22" s="415" t="s">
        <v>414</v>
      </c>
      <c r="D22" s="417">
        <v>280</v>
      </c>
      <c r="F22" s="424">
        <f t="shared" si="1"/>
        <v>21</v>
      </c>
      <c r="G22" s="425" t="s">
        <v>90</v>
      </c>
      <c r="H22" s="426" t="s">
        <v>419</v>
      </c>
      <c r="I22" s="427">
        <v>296.39999999999998</v>
      </c>
      <c r="K22" s="416">
        <f t="shared" si="0"/>
        <v>770</v>
      </c>
      <c r="L22" s="251">
        <v>5.5</v>
      </c>
    </row>
    <row r="23" spans="1:12" ht="15.75" thickBot="1" x14ac:dyDescent="0.3">
      <c r="A23" s="414">
        <v>22</v>
      </c>
      <c r="B23" s="415" t="s">
        <v>424</v>
      </c>
      <c r="C23" s="415" t="s">
        <v>34</v>
      </c>
      <c r="D23" s="417">
        <v>375</v>
      </c>
      <c r="F23" s="421">
        <f t="shared" si="1"/>
        <v>22</v>
      </c>
      <c r="G23" s="422" t="s">
        <v>91</v>
      </c>
      <c r="H23" s="418" t="s">
        <v>419</v>
      </c>
      <c r="I23" s="423">
        <v>433.2</v>
      </c>
      <c r="K23" s="416">
        <f t="shared" si="0"/>
        <v>805</v>
      </c>
      <c r="L23" s="295">
        <v>5.75</v>
      </c>
    </row>
    <row r="24" spans="1:12" ht="15.75" thickBot="1" x14ac:dyDescent="0.3">
      <c r="A24" s="414">
        <v>23</v>
      </c>
      <c r="B24" s="415" t="s">
        <v>425</v>
      </c>
      <c r="C24" s="415" t="s">
        <v>419</v>
      </c>
      <c r="D24" s="417">
        <v>4</v>
      </c>
      <c r="F24" s="424">
        <f t="shared" si="1"/>
        <v>23</v>
      </c>
      <c r="G24" s="425" t="s">
        <v>119</v>
      </c>
      <c r="H24" s="426" t="s">
        <v>419</v>
      </c>
      <c r="I24" s="427">
        <v>54.72</v>
      </c>
      <c r="K24" s="416">
        <f t="shared" si="0"/>
        <v>840</v>
      </c>
      <c r="L24" s="251">
        <v>6</v>
      </c>
    </row>
    <row r="25" spans="1:12" ht="15.75" thickBot="1" x14ac:dyDescent="0.3">
      <c r="A25" s="414">
        <v>24</v>
      </c>
      <c r="B25" s="415" t="s">
        <v>426</v>
      </c>
      <c r="C25" s="415" t="s">
        <v>414</v>
      </c>
      <c r="D25" s="417">
        <v>28</v>
      </c>
      <c r="F25" s="421">
        <f t="shared" si="1"/>
        <v>24</v>
      </c>
      <c r="G25" s="422" t="s">
        <v>444</v>
      </c>
      <c r="H25" s="418" t="s">
        <v>419</v>
      </c>
      <c r="I25" s="423">
        <v>9.1199999999999992</v>
      </c>
      <c r="K25" s="416">
        <f t="shared" ref="K25:K50" si="2">$D$14*L25</f>
        <v>85</v>
      </c>
      <c r="L25" s="295">
        <v>0.25</v>
      </c>
    </row>
    <row r="26" spans="1:12" ht="15.75" thickBot="1" x14ac:dyDescent="0.3">
      <c r="A26" s="414">
        <v>25</v>
      </c>
      <c r="B26" s="415" t="s">
        <v>427</v>
      </c>
      <c r="C26" s="415" t="s">
        <v>414</v>
      </c>
      <c r="D26" s="417">
        <v>100</v>
      </c>
      <c r="F26" s="424">
        <f t="shared" si="1"/>
        <v>25</v>
      </c>
      <c r="G26" s="425" t="s">
        <v>452</v>
      </c>
      <c r="H26" s="426" t="s">
        <v>34</v>
      </c>
      <c r="I26" s="427">
        <v>96.9</v>
      </c>
      <c r="K26" s="416">
        <f t="shared" si="2"/>
        <v>170</v>
      </c>
      <c r="L26" s="251">
        <v>0.5</v>
      </c>
    </row>
    <row r="27" spans="1:12" ht="15.75" thickBot="1" x14ac:dyDescent="0.3">
      <c r="A27" s="414">
        <v>26</v>
      </c>
      <c r="B27" s="415" t="s">
        <v>428</v>
      </c>
      <c r="C27" s="415" t="s">
        <v>82</v>
      </c>
      <c r="D27" s="417">
        <v>360</v>
      </c>
      <c r="F27" s="421">
        <f t="shared" si="1"/>
        <v>26</v>
      </c>
      <c r="G27" s="422" t="s">
        <v>453</v>
      </c>
      <c r="H27" s="418" t="s">
        <v>34</v>
      </c>
      <c r="I27" s="423">
        <v>193.8</v>
      </c>
      <c r="K27" s="416">
        <f t="shared" si="2"/>
        <v>170</v>
      </c>
      <c r="L27" s="295">
        <v>0.5</v>
      </c>
    </row>
    <row r="28" spans="1:12" ht="15.75" thickBot="1" x14ac:dyDescent="0.3">
      <c r="A28" s="414">
        <v>27</v>
      </c>
      <c r="B28" s="415" t="s">
        <v>429</v>
      </c>
      <c r="C28" s="415" t="s">
        <v>82</v>
      </c>
      <c r="D28" s="417">
        <v>510</v>
      </c>
      <c r="F28" s="424">
        <f t="shared" si="1"/>
        <v>27</v>
      </c>
      <c r="G28" s="425" t="s">
        <v>454</v>
      </c>
      <c r="H28" s="426" t="s">
        <v>34</v>
      </c>
      <c r="I28" s="427">
        <v>193.8</v>
      </c>
      <c r="K28" s="416">
        <f t="shared" si="2"/>
        <v>340</v>
      </c>
      <c r="L28" s="251">
        <v>1</v>
      </c>
    </row>
    <row r="29" spans="1:12" ht="15.75" thickBot="1" x14ac:dyDescent="0.3">
      <c r="A29" s="414">
        <v>28</v>
      </c>
      <c r="B29" s="415" t="s">
        <v>430</v>
      </c>
      <c r="C29" s="415" t="s">
        <v>419</v>
      </c>
      <c r="D29" s="417">
        <v>13.6</v>
      </c>
      <c r="F29" s="421">
        <f t="shared" si="1"/>
        <v>28</v>
      </c>
      <c r="G29" s="422" t="s">
        <v>114</v>
      </c>
      <c r="H29" s="418" t="s">
        <v>34</v>
      </c>
      <c r="I29" s="423">
        <v>387.6</v>
      </c>
      <c r="K29" s="416">
        <f t="shared" si="2"/>
        <v>510</v>
      </c>
      <c r="L29" s="295">
        <v>1.5</v>
      </c>
    </row>
    <row r="30" spans="1:12" ht="15.75" thickBot="1" x14ac:dyDescent="0.3">
      <c r="A30" s="414">
        <v>29</v>
      </c>
      <c r="B30" s="415" t="s">
        <v>431</v>
      </c>
      <c r="C30" s="415" t="s">
        <v>82</v>
      </c>
      <c r="D30" s="417">
        <v>390</v>
      </c>
      <c r="F30" s="424">
        <f t="shared" si="1"/>
        <v>29</v>
      </c>
      <c r="G30" s="425" t="s">
        <v>223</v>
      </c>
      <c r="H30" s="426" t="s">
        <v>34</v>
      </c>
      <c r="I30" s="427">
        <v>581.4</v>
      </c>
      <c r="K30" s="416">
        <f t="shared" si="2"/>
        <v>680</v>
      </c>
      <c r="L30" s="251">
        <v>2</v>
      </c>
    </row>
    <row r="31" spans="1:12" ht="15.75" thickBot="1" x14ac:dyDescent="0.3">
      <c r="A31" s="414">
        <v>30</v>
      </c>
      <c r="B31" s="415" t="s">
        <v>432</v>
      </c>
      <c r="C31" s="415" t="s">
        <v>414</v>
      </c>
      <c r="D31" s="417">
        <v>140</v>
      </c>
      <c r="F31" s="421">
        <f t="shared" si="1"/>
        <v>30</v>
      </c>
      <c r="G31" s="422" t="s">
        <v>224</v>
      </c>
      <c r="H31" s="418" t="s">
        <v>34</v>
      </c>
      <c r="I31" s="423">
        <v>775.2</v>
      </c>
      <c r="K31" s="416">
        <f t="shared" si="2"/>
        <v>850</v>
      </c>
      <c r="L31" s="295">
        <v>2.5</v>
      </c>
    </row>
    <row r="32" spans="1:12" ht="15.75" thickBot="1" x14ac:dyDescent="0.3">
      <c r="A32" s="414">
        <v>31</v>
      </c>
      <c r="B32" s="415" t="s">
        <v>433</v>
      </c>
      <c r="C32" s="415" t="s">
        <v>82</v>
      </c>
      <c r="D32" s="417">
        <v>35</v>
      </c>
      <c r="F32" s="424">
        <f t="shared" si="1"/>
        <v>31</v>
      </c>
      <c r="G32" s="425" t="s">
        <v>225</v>
      </c>
      <c r="H32" s="426" t="s">
        <v>34</v>
      </c>
      <c r="I32" s="427">
        <v>969</v>
      </c>
      <c r="K32" s="416">
        <f t="shared" si="2"/>
        <v>1020</v>
      </c>
      <c r="L32" s="251">
        <v>3</v>
      </c>
    </row>
    <row r="33" spans="6:12" ht="15.75" thickBot="1" x14ac:dyDescent="0.3">
      <c r="F33" s="421">
        <f t="shared" si="1"/>
        <v>32</v>
      </c>
      <c r="G33" s="422" t="s">
        <v>226</v>
      </c>
      <c r="H33" s="418" t="s">
        <v>34</v>
      </c>
      <c r="I33" s="423">
        <v>1162.8</v>
      </c>
      <c r="K33" s="416">
        <f t="shared" si="2"/>
        <v>272</v>
      </c>
      <c r="L33" s="295">
        <v>0.8</v>
      </c>
    </row>
    <row r="34" spans="6:12" x14ac:dyDescent="0.25">
      <c r="F34" s="424">
        <f t="shared" si="1"/>
        <v>33</v>
      </c>
      <c r="G34" s="425" t="s">
        <v>436</v>
      </c>
      <c r="H34" s="426" t="s">
        <v>34</v>
      </c>
      <c r="I34" s="427">
        <v>79.8</v>
      </c>
      <c r="K34" s="416">
        <f t="shared" si="2"/>
        <v>340</v>
      </c>
      <c r="L34" s="251">
        <v>1</v>
      </c>
    </row>
    <row r="35" spans="6:12" ht="15.75" thickBot="1" x14ac:dyDescent="0.3">
      <c r="F35" s="421">
        <f t="shared" ref="F35:F66" si="3">F34+1</f>
        <v>34</v>
      </c>
      <c r="G35" s="422" t="s">
        <v>437</v>
      </c>
      <c r="H35" s="418" t="s">
        <v>34</v>
      </c>
      <c r="I35" s="423">
        <v>119.7</v>
      </c>
      <c r="K35" s="416">
        <f t="shared" si="2"/>
        <v>408</v>
      </c>
      <c r="L35" s="295">
        <v>1.2</v>
      </c>
    </row>
    <row r="36" spans="6:12" x14ac:dyDescent="0.25">
      <c r="F36" s="424">
        <f t="shared" si="3"/>
        <v>35</v>
      </c>
      <c r="G36" s="425" t="s">
        <v>438</v>
      </c>
      <c r="H36" s="426" t="s">
        <v>34</v>
      </c>
      <c r="I36" s="427">
        <v>159.6</v>
      </c>
      <c r="K36" s="416">
        <f t="shared" si="2"/>
        <v>578</v>
      </c>
      <c r="L36" s="251">
        <v>1.7</v>
      </c>
    </row>
    <row r="37" spans="6:12" ht="15.75" thickBot="1" x14ac:dyDescent="0.3">
      <c r="F37" s="421">
        <f t="shared" si="3"/>
        <v>36</v>
      </c>
      <c r="G37" s="422" t="s">
        <v>439</v>
      </c>
      <c r="H37" s="418" t="s">
        <v>34</v>
      </c>
      <c r="I37" s="423">
        <v>199.5</v>
      </c>
      <c r="K37" s="416">
        <f t="shared" si="2"/>
        <v>748.00000000000011</v>
      </c>
      <c r="L37" s="295">
        <v>2.2000000000000002</v>
      </c>
    </row>
    <row r="38" spans="6:12" x14ac:dyDescent="0.25">
      <c r="F38" s="424">
        <f t="shared" si="3"/>
        <v>37</v>
      </c>
      <c r="G38" s="425" t="s">
        <v>440</v>
      </c>
      <c r="H38" s="426" t="s">
        <v>34</v>
      </c>
      <c r="I38" s="427">
        <v>239.4</v>
      </c>
      <c r="K38" s="416">
        <f t="shared" si="2"/>
        <v>816</v>
      </c>
      <c r="L38" s="251">
        <v>2.4</v>
      </c>
    </row>
    <row r="39" spans="6:12" ht="15.75" thickBot="1" x14ac:dyDescent="0.3">
      <c r="F39" s="421">
        <f t="shared" si="3"/>
        <v>38</v>
      </c>
      <c r="G39" s="422" t="s">
        <v>251</v>
      </c>
      <c r="H39" s="418" t="s">
        <v>34</v>
      </c>
      <c r="I39" s="423">
        <v>389.88</v>
      </c>
      <c r="K39" s="416">
        <f t="shared" si="2"/>
        <v>850</v>
      </c>
      <c r="L39" s="295">
        <v>2.5</v>
      </c>
    </row>
    <row r="40" spans="6:12" x14ac:dyDescent="0.25">
      <c r="F40" s="424">
        <f t="shared" si="3"/>
        <v>39</v>
      </c>
      <c r="G40" s="425" t="s">
        <v>252</v>
      </c>
      <c r="H40" s="426" t="s">
        <v>34</v>
      </c>
      <c r="I40" s="427">
        <v>584.82000000000005</v>
      </c>
      <c r="K40" s="416">
        <f t="shared" si="2"/>
        <v>272</v>
      </c>
      <c r="L40" s="251">
        <v>0.8</v>
      </c>
    </row>
    <row r="41" spans="6:12" ht="15.75" thickBot="1" x14ac:dyDescent="0.3">
      <c r="F41" s="421">
        <f t="shared" si="3"/>
        <v>40</v>
      </c>
      <c r="G41" s="422" t="s">
        <v>253</v>
      </c>
      <c r="H41" s="418" t="s">
        <v>34</v>
      </c>
      <c r="I41" s="423">
        <v>779.76</v>
      </c>
      <c r="K41" s="416">
        <f t="shared" si="2"/>
        <v>340</v>
      </c>
      <c r="L41" s="295">
        <v>1</v>
      </c>
    </row>
    <row r="42" spans="6:12" x14ac:dyDescent="0.25">
      <c r="F42" s="424">
        <f t="shared" si="3"/>
        <v>41</v>
      </c>
      <c r="G42" s="425" t="s">
        <v>254</v>
      </c>
      <c r="H42" s="426" t="s">
        <v>34</v>
      </c>
      <c r="I42" s="427">
        <v>974.7</v>
      </c>
      <c r="K42" s="416">
        <f t="shared" si="2"/>
        <v>408</v>
      </c>
      <c r="L42" s="251">
        <v>1.2</v>
      </c>
    </row>
    <row r="43" spans="6:12" ht="15.75" thickBot="1" x14ac:dyDescent="0.3">
      <c r="F43" s="421">
        <f t="shared" si="3"/>
        <v>42</v>
      </c>
      <c r="G43" s="422" t="s">
        <v>255</v>
      </c>
      <c r="H43" s="418" t="s">
        <v>34</v>
      </c>
      <c r="I43" s="423">
        <v>1169.6400000000001</v>
      </c>
      <c r="K43" s="416">
        <f t="shared" si="2"/>
        <v>578</v>
      </c>
      <c r="L43" s="295">
        <v>1.7</v>
      </c>
    </row>
    <row r="44" spans="6:12" x14ac:dyDescent="0.25">
      <c r="F44" s="424">
        <f t="shared" si="3"/>
        <v>43</v>
      </c>
      <c r="G44" s="425" t="s">
        <v>300</v>
      </c>
      <c r="H44" s="426" t="s">
        <v>419</v>
      </c>
      <c r="I44" s="427">
        <v>36.119999999999997</v>
      </c>
      <c r="K44" s="416">
        <f t="shared" si="2"/>
        <v>748.00000000000011</v>
      </c>
      <c r="L44" s="251">
        <v>2.2000000000000002</v>
      </c>
    </row>
    <row r="45" spans="6:12" ht="15.75" thickBot="1" x14ac:dyDescent="0.3">
      <c r="F45" s="421">
        <f t="shared" si="3"/>
        <v>44</v>
      </c>
      <c r="G45" s="422" t="s">
        <v>456</v>
      </c>
      <c r="H45" s="418" t="s">
        <v>34</v>
      </c>
      <c r="I45" s="423">
        <v>310.08</v>
      </c>
      <c r="K45" s="416">
        <f t="shared" si="2"/>
        <v>816</v>
      </c>
      <c r="L45" s="295">
        <v>2.4</v>
      </c>
    </row>
    <row r="46" spans="6:12" x14ac:dyDescent="0.25">
      <c r="F46" s="424">
        <f t="shared" si="3"/>
        <v>45</v>
      </c>
      <c r="G46" s="425" t="s">
        <v>228</v>
      </c>
      <c r="H46" s="426" t="s">
        <v>34</v>
      </c>
      <c r="I46" s="427">
        <v>387.6</v>
      </c>
      <c r="K46" s="416">
        <f t="shared" si="2"/>
        <v>850</v>
      </c>
      <c r="L46" s="251">
        <v>2.5</v>
      </c>
    </row>
    <row r="47" spans="6:12" ht="15.75" thickBot="1" x14ac:dyDescent="0.3">
      <c r="F47" s="421">
        <f t="shared" si="3"/>
        <v>46</v>
      </c>
      <c r="G47" s="422" t="s">
        <v>229</v>
      </c>
      <c r="H47" s="418" t="s">
        <v>34</v>
      </c>
      <c r="I47" s="423">
        <v>465.12</v>
      </c>
      <c r="K47" s="416">
        <f t="shared" si="2"/>
        <v>788.8</v>
      </c>
      <c r="L47" s="295">
        <v>2.3199999999999998</v>
      </c>
    </row>
    <row r="48" spans="6:12" x14ac:dyDescent="0.25">
      <c r="F48" s="424">
        <f t="shared" si="3"/>
        <v>47</v>
      </c>
      <c r="G48" s="425" t="s">
        <v>230</v>
      </c>
      <c r="H48" s="426" t="s">
        <v>34</v>
      </c>
      <c r="I48" s="427">
        <v>658.92</v>
      </c>
      <c r="K48" s="416">
        <f t="shared" si="2"/>
        <v>884</v>
      </c>
      <c r="L48" s="251">
        <v>2.6</v>
      </c>
    </row>
    <row r="49" spans="6:12" ht="15.75" thickBot="1" x14ac:dyDescent="0.3">
      <c r="F49" s="421">
        <f t="shared" si="3"/>
        <v>48</v>
      </c>
      <c r="G49" s="422" t="s">
        <v>231</v>
      </c>
      <c r="H49" s="418" t="s">
        <v>34</v>
      </c>
      <c r="I49" s="423">
        <v>852.72</v>
      </c>
      <c r="K49" s="416">
        <f t="shared" si="2"/>
        <v>1003.0000000000001</v>
      </c>
      <c r="L49" s="295">
        <v>2.95</v>
      </c>
    </row>
    <row r="50" spans="6:12" x14ac:dyDescent="0.25">
      <c r="F50" s="424">
        <f t="shared" si="3"/>
        <v>49</v>
      </c>
      <c r="G50" s="425" t="s">
        <v>232</v>
      </c>
      <c r="H50" s="426" t="s">
        <v>34</v>
      </c>
      <c r="I50" s="427">
        <v>930.24</v>
      </c>
      <c r="K50" s="416">
        <f t="shared" si="2"/>
        <v>1047.2</v>
      </c>
      <c r="L50" s="251">
        <v>3.08</v>
      </c>
    </row>
    <row r="51" spans="6:12" ht="15.75" thickBot="1" x14ac:dyDescent="0.3">
      <c r="F51" s="421">
        <f t="shared" si="3"/>
        <v>50</v>
      </c>
      <c r="G51" s="422" t="s">
        <v>233</v>
      </c>
      <c r="H51" s="418" t="s">
        <v>34</v>
      </c>
      <c r="I51" s="423">
        <v>969</v>
      </c>
      <c r="K51" s="416">
        <f>$D$2</f>
        <v>57</v>
      </c>
      <c r="L51" s="295">
        <v>1</v>
      </c>
    </row>
    <row r="52" spans="6:12" x14ac:dyDescent="0.25">
      <c r="F52" s="424">
        <f t="shared" si="3"/>
        <v>51</v>
      </c>
      <c r="G52" s="425" t="s">
        <v>459</v>
      </c>
      <c r="H52" s="426" t="s">
        <v>34</v>
      </c>
      <c r="I52" s="427">
        <v>31.92</v>
      </c>
      <c r="K52" s="416">
        <f>$D$2</f>
        <v>57</v>
      </c>
      <c r="L52" s="251">
        <v>1</v>
      </c>
    </row>
    <row r="53" spans="6:12" ht="15.75" thickBot="1" x14ac:dyDescent="0.3">
      <c r="F53" s="421">
        <f t="shared" si="3"/>
        <v>52</v>
      </c>
      <c r="G53" s="422" t="s">
        <v>457</v>
      </c>
      <c r="H53" s="418" t="s">
        <v>34</v>
      </c>
      <c r="I53" s="423">
        <v>114</v>
      </c>
      <c r="K53" s="416">
        <f>D12</f>
        <v>105</v>
      </c>
      <c r="L53" s="295">
        <v>1</v>
      </c>
    </row>
    <row r="54" spans="6:12" x14ac:dyDescent="0.25">
      <c r="F54" s="424">
        <f t="shared" si="3"/>
        <v>53</v>
      </c>
      <c r="G54" s="425" t="s">
        <v>268</v>
      </c>
      <c r="H54" s="426" t="s">
        <v>419</v>
      </c>
      <c r="I54" s="427">
        <v>410.4</v>
      </c>
      <c r="K54" s="416">
        <f>D11</f>
        <v>165</v>
      </c>
      <c r="L54" s="251">
        <v>1</v>
      </c>
    </row>
    <row r="55" spans="6:12" ht="15.75" thickBot="1" x14ac:dyDescent="0.3">
      <c r="F55" s="421">
        <f t="shared" si="3"/>
        <v>54</v>
      </c>
      <c r="G55" s="422" t="s">
        <v>458</v>
      </c>
      <c r="H55" s="418" t="s">
        <v>34</v>
      </c>
      <c r="I55" s="423">
        <v>310.08</v>
      </c>
      <c r="K55" s="416">
        <f>D17</f>
        <v>165</v>
      </c>
      <c r="L55" s="295">
        <v>1</v>
      </c>
    </row>
    <row r="56" spans="6:12" x14ac:dyDescent="0.25">
      <c r="F56" s="424">
        <f t="shared" si="3"/>
        <v>55</v>
      </c>
      <c r="G56" s="425" t="s">
        <v>235</v>
      </c>
      <c r="H56" s="426" t="s">
        <v>34</v>
      </c>
      <c r="I56" s="427">
        <v>387.6</v>
      </c>
      <c r="K56" s="416">
        <f>D5</f>
        <v>48</v>
      </c>
      <c r="L56" s="251">
        <v>1</v>
      </c>
    </row>
    <row r="57" spans="6:12" ht="15.75" thickBot="1" x14ac:dyDescent="0.3">
      <c r="F57" s="421">
        <f t="shared" si="3"/>
        <v>56</v>
      </c>
      <c r="G57" s="422" t="s">
        <v>236</v>
      </c>
      <c r="H57" s="418" t="s">
        <v>34</v>
      </c>
      <c r="I57" s="423">
        <v>465.12</v>
      </c>
      <c r="K57" s="416">
        <f>D7</f>
        <v>52</v>
      </c>
      <c r="L57" s="295">
        <v>1</v>
      </c>
    </row>
    <row r="58" spans="6:12" x14ac:dyDescent="0.25">
      <c r="F58" s="424">
        <f t="shared" si="3"/>
        <v>57</v>
      </c>
      <c r="G58" s="425" t="s">
        <v>237</v>
      </c>
      <c r="H58" s="426" t="s">
        <v>34</v>
      </c>
      <c r="I58" s="427">
        <v>658.92</v>
      </c>
      <c r="K58" s="416">
        <f>D8</f>
        <v>105</v>
      </c>
      <c r="L58" s="251">
        <v>1</v>
      </c>
    </row>
    <row r="59" spans="6:12" ht="15.75" thickBot="1" x14ac:dyDescent="0.3">
      <c r="F59" s="421">
        <f t="shared" si="3"/>
        <v>58</v>
      </c>
      <c r="G59" s="422" t="s">
        <v>238</v>
      </c>
      <c r="H59" s="418" t="s">
        <v>34</v>
      </c>
      <c r="I59" s="423">
        <v>852.72</v>
      </c>
      <c r="K59" s="416">
        <f>D15</f>
        <v>260</v>
      </c>
      <c r="L59" s="295">
        <v>1</v>
      </c>
    </row>
    <row r="60" spans="6:12" x14ac:dyDescent="0.25">
      <c r="F60" s="424">
        <f t="shared" si="3"/>
        <v>59</v>
      </c>
      <c r="G60" s="425" t="s">
        <v>239</v>
      </c>
      <c r="H60" s="426" t="s">
        <v>34</v>
      </c>
      <c r="I60" s="427">
        <v>930.24</v>
      </c>
      <c r="K60" s="416">
        <f>D16</f>
        <v>380</v>
      </c>
      <c r="L60" s="251">
        <v>1</v>
      </c>
    </row>
    <row r="61" spans="6:12" ht="15.75" thickBot="1" x14ac:dyDescent="0.3">
      <c r="F61" s="421">
        <f t="shared" si="3"/>
        <v>60</v>
      </c>
      <c r="G61" s="422" t="s">
        <v>240</v>
      </c>
      <c r="H61" s="418" t="s">
        <v>34</v>
      </c>
      <c r="I61" s="423">
        <v>969</v>
      </c>
      <c r="K61" s="416">
        <f>D10</f>
        <v>105</v>
      </c>
      <c r="L61" s="295">
        <v>0.5</v>
      </c>
    </row>
    <row r="62" spans="6:12" x14ac:dyDescent="0.25">
      <c r="F62" s="424">
        <f t="shared" si="3"/>
        <v>61</v>
      </c>
      <c r="G62" s="425" t="s">
        <v>462</v>
      </c>
      <c r="H62" s="426" t="s">
        <v>34</v>
      </c>
      <c r="I62" s="427">
        <v>39.9</v>
      </c>
      <c r="L62" s="251">
        <v>1</v>
      </c>
    </row>
    <row r="63" spans="6:12" ht="15.75" thickBot="1" x14ac:dyDescent="0.3">
      <c r="F63" s="421">
        <f t="shared" si="3"/>
        <v>62</v>
      </c>
      <c r="G63" s="422" t="s">
        <v>460</v>
      </c>
      <c r="H63" s="418" t="s">
        <v>34</v>
      </c>
      <c r="I63" s="423">
        <v>79.8</v>
      </c>
      <c r="K63" s="416">
        <f>K61*2</f>
        <v>210</v>
      </c>
      <c r="L63" s="295">
        <v>1</v>
      </c>
    </row>
    <row r="64" spans="6:12" x14ac:dyDescent="0.25">
      <c r="F64" s="424">
        <f t="shared" si="3"/>
        <v>63</v>
      </c>
      <c r="G64" s="425" t="s">
        <v>461</v>
      </c>
      <c r="H64" s="426" t="s">
        <v>34</v>
      </c>
      <c r="I64" s="427">
        <v>119.7</v>
      </c>
      <c r="K64" s="416">
        <f>K61</f>
        <v>105</v>
      </c>
      <c r="L64" s="251">
        <v>1</v>
      </c>
    </row>
    <row r="65" spans="6:12" ht="15.75" thickBot="1" x14ac:dyDescent="0.3">
      <c r="F65" s="421">
        <f t="shared" si="3"/>
        <v>64</v>
      </c>
      <c r="G65" s="422" t="s">
        <v>129</v>
      </c>
      <c r="H65" s="418" t="s">
        <v>34</v>
      </c>
      <c r="I65" s="423">
        <v>159.6</v>
      </c>
      <c r="K65" s="416">
        <f>D27</f>
        <v>360</v>
      </c>
      <c r="L65" s="295">
        <v>1</v>
      </c>
    </row>
    <row r="66" spans="6:12" x14ac:dyDescent="0.25">
      <c r="F66" s="424">
        <f t="shared" si="3"/>
        <v>65</v>
      </c>
      <c r="G66" s="425" t="s">
        <v>202</v>
      </c>
      <c r="H66" s="426" t="s">
        <v>34</v>
      </c>
      <c r="I66" s="427">
        <v>199.5</v>
      </c>
      <c r="K66">
        <f>70*L66</f>
        <v>70</v>
      </c>
      <c r="L66" s="251">
        <v>1</v>
      </c>
    </row>
    <row r="67" spans="6:12" ht="15.75" thickBot="1" x14ac:dyDescent="0.3">
      <c r="F67" s="421">
        <f t="shared" ref="F67:F85" si="4">F66+1</f>
        <v>66</v>
      </c>
      <c r="G67" s="422" t="s">
        <v>203</v>
      </c>
      <c r="H67" s="418" t="s">
        <v>34</v>
      </c>
      <c r="I67" s="423">
        <v>239.4</v>
      </c>
      <c r="K67">
        <f>70*L67</f>
        <v>105</v>
      </c>
      <c r="L67" s="295">
        <v>1.5</v>
      </c>
    </row>
    <row r="68" spans="6:12" x14ac:dyDescent="0.25">
      <c r="F68" s="424">
        <f t="shared" si="4"/>
        <v>67</v>
      </c>
      <c r="G68" s="425" t="s">
        <v>204</v>
      </c>
      <c r="H68" s="426" t="s">
        <v>34</v>
      </c>
      <c r="I68" s="427">
        <v>279.3</v>
      </c>
      <c r="K68">
        <f>70*L68</f>
        <v>140</v>
      </c>
      <c r="L68" s="251">
        <v>2</v>
      </c>
    </row>
    <row r="69" spans="6:12" ht="15.75" thickBot="1" x14ac:dyDescent="0.3">
      <c r="F69" s="421">
        <f t="shared" si="4"/>
        <v>68</v>
      </c>
      <c r="G69" s="422" t="s">
        <v>205</v>
      </c>
      <c r="H69" s="418" t="s">
        <v>34</v>
      </c>
      <c r="I69" s="423">
        <v>319.2</v>
      </c>
      <c r="K69">
        <f>70*L69</f>
        <v>175</v>
      </c>
      <c r="L69" s="295">
        <v>2.5</v>
      </c>
    </row>
    <row r="70" spans="6:12" x14ac:dyDescent="0.25">
      <c r="F70" s="424">
        <f t="shared" si="4"/>
        <v>69</v>
      </c>
      <c r="G70" s="425" t="s">
        <v>206</v>
      </c>
      <c r="H70" s="426" t="s">
        <v>34</v>
      </c>
      <c r="I70" s="427">
        <v>359.1</v>
      </c>
      <c r="K70">
        <f>70*L70</f>
        <v>210</v>
      </c>
      <c r="L70" s="251">
        <v>3</v>
      </c>
    </row>
    <row r="71" spans="6:12" ht="15.75" thickBot="1" x14ac:dyDescent="0.3">
      <c r="F71" s="421">
        <f t="shared" si="4"/>
        <v>70</v>
      </c>
      <c r="G71" s="422" t="s">
        <v>207</v>
      </c>
      <c r="H71" s="418" t="s">
        <v>34</v>
      </c>
      <c r="I71" s="423">
        <v>399</v>
      </c>
      <c r="K71" s="416">
        <f>D25</f>
        <v>28</v>
      </c>
      <c r="L71" s="295">
        <v>3</v>
      </c>
    </row>
    <row r="72" spans="6:12" x14ac:dyDescent="0.25">
      <c r="F72" s="424">
        <f t="shared" si="4"/>
        <v>71</v>
      </c>
      <c r="G72" s="425" t="s">
        <v>208</v>
      </c>
      <c r="H72" s="426" t="s">
        <v>34</v>
      </c>
      <c r="I72" s="427">
        <v>438.9</v>
      </c>
      <c r="K72">
        <f>1.9*180*L72</f>
        <v>342</v>
      </c>
      <c r="L72" s="251">
        <v>1</v>
      </c>
    </row>
    <row r="73" spans="6:12" ht="15.75" thickBot="1" x14ac:dyDescent="0.3">
      <c r="F73" s="421">
        <f t="shared" si="4"/>
        <v>72</v>
      </c>
      <c r="G73" s="422" t="s">
        <v>209</v>
      </c>
      <c r="H73" s="418" t="s">
        <v>34</v>
      </c>
      <c r="I73" s="423">
        <v>478.8</v>
      </c>
      <c r="K73">
        <f>1.9*180*L73</f>
        <v>513</v>
      </c>
      <c r="L73" s="295">
        <v>1.5</v>
      </c>
    </row>
    <row r="74" spans="6:12" x14ac:dyDescent="0.25">
      <c r="F74" s="424">
        <f t="shared" si="4"/>
        <v>73</v>
      </c>
      <c r="G74" s="425" t="s">
        <v>210</v>
      </c>
      <c r="H74" s="426" t="s">
        <v>34</v>
      </c>
      <c r="I74" s="427">
        <v>518.70000000000005</v>
      </c>
      <c r="K74">
        <f>1.9*180*L74</f>
        <v>684</v>
      </c>
      <c r="L74" s="251">
        <v>2</v>
      </c>
    </row>
    <row r="75" spans="6:12" ht="15.75" thickBot="1" x14ac:dyDescent="0.3">
      <c r="F75" s="421">
        <f t="shared" si="4"/>
        <v>74</v>
      </c>
      <c r="G75" s="422" t="s">
        <v>211</v>
      </c>
      <c r="H75" s="418" t="s">
        <v>34</v>
      </c>
      <c r="I75" s="423">
        <v>558.6</v>
      </c>
      <c r="K75">
        <f>1.9*180*L75</f>
        <v>855</v>
      </c>
      <c r="L75" s="295">
        <v>2.5</v>
      </c>
    </row>
    <row r="76" spans="6:12" x14ac:dyDescent="0.25">
      <c r="F76" s="424">
        <f t="shared" si="4"/>
        <v>75</v>
      </c>
      <c r="G76" s="425" t="s">
        <v>212</v>
      </c>
      <c r="H76" s="426" t="s">
        <v>34</v>
      </c>
      <c r="I76" s="427">
        <v>598.5</v>
      </c>
      <c r="K76">
        <f>1.9*180*L76</f>
        <v>1026</v>
      </c>
      <c r="L76" s="251">
        <v>3</v>
      </c>
    </row>
    <row r="77" spans="6:12" ht="15.75" thickBot="1" x14ac:dyDescent="0.3">
      <c r="F77" s="421">
        <f t="shared" si="4"/>
        <v>76</v>
      </c>
      <c r="G77" s="422" t="s">
        <v>146</v>
      </c>
      <c r="H77" s="418" t="s">
        <v>34</v>
      </c>
      <c r="I77" s="423">
        <v>638.4</v>
      </c>
      <c r="K77" s="416">
        <f t="shared" ref="K77:K89" si="5">$D$26*L77</f>
        <v>80</v>
      </c>
      <c r="L77" s="295">
        <v>0.8</v>
      </c>
    </row>
    <row r="78" spans="6:12" x14ac:dyDescent="0.25">
      <c r="F78" s="424">
        <f t="shared" si="4"/>
        <v>77</v>
      </c>
      <c r="G78" s="425" t="s">
        <v>213</v>
      </c>
      <c r="H78" s="426" t="s">
        <v>34</v>
      </c>
      <c r="I78" s="427">
        <v>678.3</v>
      </c>
      <c r="K78" s="416">
        <f t="shared" si="5"/>
        <v>100</v>
      </c>
      <c r="L78" s="251">
        <v>1</v>
      </c>
    </row>
    <row r="79" spans="6:12" ht="15.75" thickBot="1" x14ac:dyDescent="0.3">
      <c r="F79" s="421">
        <f t="shared" si="4"/>
        <v>78</v>
      </c>
      <c r="G79" s="422" t="s">
        <v>214</v>
      </c>
      <c r="H79" s="418" t="s">
        <v>34</v>
      </c>
      <c r="I79" s="423">
        <v>718.2</v>
      </c>
      <c r="K79" s="416">
        <f t="shared" si="5"/>
        <v>120</v>
      </c>
      <c r="L79" s="295">
        <v>1.2</v>
      </c>
    </row>
    <row r="80" spans="6:12" x14ac:dyDescent="0.25">
      <c r="F80" s="424">
        <f t="shared" si="4"/>
        <v>79</v>
      </c>
      <c r="G80" s="425" t="s">
        <v>215</v>
      </c>
      <c r="H80" s="426" t="s">
        <v>34</v>
      </c>
      <c r="I80" s="427">
        <v>758.1</v>
      </c>
      <c r="K80" s="416">
        <f t="shared" si="5"/>
        <v>130</v>
      </c>
      <c r="L80" s="251">
        <v>1.3</v>
      </c>
    </row>
    <row r="81" spans="6:12" ht="15.75" thickBot="1" x14ac:dyDescent="0.3">
      <c r="F81" s="421">
        <f t="shared" si="4"/>
        <v>80</v>
      </c>
      <c r="G81" s="422" t="s">
        <v>216</v>
      </c>
      <c r="H81" s="418" t="s">
        <v>34</v>
      </c>
      <c r="I81" s="423">
        <v>798</v>
      </c>
      <c r="K81" s="416">
        <f t="shared" si="5"/>
        <v>150</v>
      </c>
      <c r="L81" s="295">
        <v>1.5</v>
      </c>
    </row>
    <row r="82" spans="6:12" x14ac:dyDescent="0.25">
      <c r="F82" s="424">
        <f t="shared" si="4"/>
        <v>81</v>
      </c>
      <c r="G82" s="425" t="s">
        <v>217</v>
      </c>
      <c r="H82" s="426" t="s">
        <v>34</v>
      </c>
      <c r="I82" s="427">
        <v>837.9</v>
      </c>
      <c r="K82" s="416">
        <f t="shared" si="5"/>
        <v>170</v>
      </c>
      <c r="L82" s="251">
        <v>1.7</v>
      </c>
    </row>
    <row r="83" spans="6:12" ht="15.75" thickBot="1" x14ac:dyDescent="0.3">
      <c r="F83" s="421">
        <f t="shared" si="4"/>
        <v>82</v>
      </c>
      <c r="G83" s="422" t="s">
        <v>218</v>
      </c>
      <c r="H83" s="418" t="s">
        <v>34</v>
      </c>
      <c r="I83" s="423">
        <v>877.8</v>
      </c>
      <c r="K83" s="416">
        <f t="shared" si="5"/>
        <v>180</v>
      </c>
      <c r="L83" s="295">
        <v>1.8</v>
      </c>
    </row>
    <row r="84" spans="6:12" x14ac:dyDescent="0.25">
      <c r="F84" s="424">
        <f t="shared" si="4"/>
        <v>83</v>
      </c>
      <c r="G84" s="425" t="s">
        <v>219</v>
      </c>
      <c r="H84" s="426" t="s">
        <v>34</v>
      </c>
      <c r="I84" s="427">
        <v>917.7</v>
      </c>
      <c r="K84" s="416">
        <f t="shared" si="5"/>
        <v>200</v>
      </c>
      <c r="L84" s="251">
        <v>2</v>
      </c>
    </row>
    <row r="85" spans="6:12" x14ac:dyDescent="0.25">
      <c r="F85" s="421">
        <f t="shared" si="4"/>
        <v>84</v>
      </c>
      <c r="G85" s="422" t="s">
        <v>147</v>
      </c>
      <c r="H85" s="418" t="s">
        <v>34</v>
      </c>
      <c r="I85" s="423">
        <v>957.6</v>
      </c>
      <c r="K85" s="416">
        <f t="shared" si="5"/>
        <v>220.00000000000003</v>
      </c>
      <c r="L85" s="295">
        <v>2.2000000000000002</v>
      </c>
    </row>
    <row r="86" spans="6:12" x14ac:dyDescent="0.25">
      <c r="K86" s="416">
        <f t="shared" si="5"/>
        <v>229.99999999999997</v>
      </c>
      <c r="L86" s="251">
        <v>2.2999999999999998</v>
      </c>
    </row>
    <row r="87" spans="6:12" x14ac:dyDescent="0.25">
      <c r="K87" s="416">
        <f t="shared" si="5"/>
        <v>240</v>
      </c>
      <c r="L87" s="295">
        <v>2.4</v>
      </c>
    </row>
    <row r="88" spans="6:12" x14ac:dyDescent="0.25">
      <c r="K88" s="416">
        <f t="shared" si="5"/>
        <v>250</v>
      </c>
      <c r="L88" s="251">
        <v>2.5</v>
      </c>
    </row>
    <row r="89" spans="6:12" x14ac:dyDescent="0.25">
      <c r="K89" s="416">
        <f t="shared" si="5"/>
        <v>300</v>
      </c>
      <c r="L89" s="295">
        <v>3</v>
      </c>
    </row>
    <row r="90" spans="6:12" x14ac:dyDescent="0.25">
      <c r="K90" s="416">
        <f>'Tabela de preços por Item'!H486*24*2</f>
        <v>31.68</v>
      </c>
      <c r="L90" s="251">
        <v>1</v>
      </c>
    </row>
    <row r="91" spans="6:12" x14ac:dyDescent="0.25">
      <c r="L91" s="27" t="s">
        <v>435</v>
      </c>
    </row>
    <row r="92" spans="6:12" x14ac:dyDescent="0.25">
      <c r="L92" s="27" t="s">
        <v>435</v>
      </c>
    </row>
  </sheetData>
  <sortState xmlns:xlrd2="http://schemas.microsoft.com/office/spreadsheetml/2017/richdata2" ref="F2:I85">
    <sortCondition ref="G62:G85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F0EB-9B76-4133-BC10-2D1BD58B30B4}">
  <dimension ref="A1:AD492"/>
  <sheetViews>
    <sheetView zoomScaleNormal="100" workbookViewId="0">
      <selection activeCell="L366" sqref="L366"/>
    </sheetView>
  </sheetViews>
  <sheetFormatPr defaultRowHeight="15" outlineLevelRow="1" x14ac:dyDescent="0.25"/>
  <cols>
    <col min="1" max="1" width="24.42578125" style="140" bestFit="1" customWidth="1"/>
    <col min="2" max="2" width="21.42578125" style="140" bestFit="1" customWidth="1"/>
    <col min="3" max="3" width="6.5703125" style="140" bestFit="1" customWidth="1"/>
    <col min="4" max="4" width="18.42578125" style="140" customWidth="1"/>
    <col min="5" max="5" width="13.7109375" style="140" customWidth="1"/>
    <col min="6" max="6" width="13.5703125" style="140" customWidth="1"/>
    <col min="7" max="7" width="12" style="140" customWidth="1"/>
    <col min="8" max="8" width="11.28515625" style="140" bestFit="1" customWidth="1"/>
    <col min="9" max="9" width="14.28515625" style="140" bestFit="1" customWidth="1"/>
    <col min="10" max="10" width="4.85546875" style="140" bestFit="1" customWidth="1"/>
    <col min="11" max="11" width="7.7109375" style="140" bestFit="1" customWidth="1"/>
    <col min="12" max="12" width="9.85546875" style="140" bestFit="1" customWidth="1"/>
    <col min="13" max="13" width="8.28515625" style="140" bestFit="1" customWidth="1"/>
    <col min="14" max="14" width="14.140625" customWidth="1"/>
    <col min="15" max="15" width="28.5703125" bestFit="1" customWidth="1"/>
    <col min="16" max="16" width="10.5703125" hidden="1" customWidth="1"/>
    <col min="17" max="17" width="10.140625" bestFit="1" customWidth="1"/>
    <col min="18" max="18" width="7.7109375" customWidth="1"/>
    <col min="19" max="19" width="10.7109375" bestFit="1" customWidth="1"/>
    <col min="20" max="20" width="13" customWidth="1"/>
    <col min="21" max="21" width="15.85546875" bestFit="1" customWidth="1"/>
    <col min="22" max="22" width="13.28515625" bestFit="1" customWidth="1"/>
    <col min="23" max="23" width="23.140625" bestFit="1" customWidth="1"/>
    <col min="24" max="24" width="18.85546875" bestFit="1" customWidth="1"/>
    <col min="25" max="25" width="7.5703125" bestFit="1" customWidth="1"/>
    <col min="26" max="26" width="8.28515625" bestFit="1" customWidth="1"/>
    <col min="27" max="27" width="2.28515625" customWidth="1"/>
    <col min="28" max="29" width="8.28515625" customWidth="1"/>
    <col min="30" max="30" width="7.7109375" bestFit="1" customWidth="1"/>
    <col min="32" max="32" width="13.5703125" bestFit="1" customWidth="1"/>
    <col min="33" max="33" width="10.5703125" bestFit="1" customWidth="1"/>
  </cols>
  <sheetData>
    <row r="1" spans="1:23" ht="15.75" thickBot="1" x14ac:dyDescent="0.3">
      <c r="A1" s="227" t="s">
        <v>353</v>
      </c>
      <c r="B1" s="227" t="s">
        <v>354</v>
      </c>
      <c r="C1" s="228"/>
      <c r="D1" s="228"/>
      <c r="E1" s="228"/>
      <c r="F1" s="228"/>
      <c r="G1" s="228"/>
      <c r="H1" s="228"/>
      <c r="I1" s="228"/>
      <c r="O1" s="481" t="s">
        <v>388</v>
      </c>
      <c r="P1" s="481"/>
      <c r="Q1" s="481"/>
      <c r="R1" s="481"/>
      <c r="S1" s="481"/>
      <c r="T1" s="481"/>
      <c r="U1" s="481"/>
    </row>
    <row r="2" spans="1:23" ht="15.75" thickBot="1" x14ac:dyDescent="0.3">
      <c r="A2" s="229" t="s">
        <v>22</v>
      </c>
      <c r="B2" s="230" t="s">
        <v>122</v>
      </c>
      <c r="C2" s="230" t="s">
        <v>123</v>
      </c>
      <c r="D2" s="230" t="s">
        <v>112</v>
      </c>
      <c r="E2" s="230" t="s">
        <v>116</v>
      </c>
      <c r="F2" s="230" t="s">
        <v>125</v>
      </c>
      <c r="G2" s="231" t="s">
        <v>107</v>
      </c>
      <c r="H2" s="232" t="s">
        <v>124</v>
      </c>
      <c r="I2" s="233" t="s">
        <v>113</v>
      </c>
      <c r="N2" s="395" t="s">
        <v>397</v>
      </c>
      <c r="O2" s="395" t="s">
        <v>12</v>
      </c>
      <c r="P2" s="395" t="s">
        <v>389</v>
      </c>
      <c r="Q2" s="395" t="s">
        <v>390</v>
      </c>
      <c r="R2" s="395" t="s">
        <v>392</v>
      </c>
      <c r="S2" s="395" t="s">
        <v>391</v>
      </c>
      <c r="T2" s="395" t="s">
        <v>393</v>
      </c>
      <c r="U2" s="395" t="s">
        <v>298</v>
      </c>
    </row>
    <row r="3" spans="1:23" ht="15.75" thickBot="1" x14ac:dyDescent="0.3">
      <c r="A3" s="203" t="s">
        <v>129</v>
      </c>
      <c r="B3" s="162" t="str">
        <f t="shared" ref="B3:B12" si="0">VLOOKUP($A3,$A$296:$B$384,2,FALSE)</f>
        <v>ML</v>
      </c>
      <c r="C3" s="163">
        <f t="shared" ref="C3:C12" si="1">VLOOKUP($A3,$A$296:$Z$384,3,FALSE)</f>
        <v>1</v>
      </c>
      <c r="D3" s="163">
        <f>SUMIFS($H$17:$H$291,$A$17:$A$291,$A3)</f>
        <v>4654.6000000000004</v>
      </c>
      <c r="E3" s="163">
        <f>IF(B3="ML",D3,0)</f>
        <v>4654.6000000000004</v>
      </c>
      <c r="F3" s="163">
        <f t="shared" ref="F3:F12" si="2">VLOOKUP($A3,$A$296:$Z$384,6,FALSE)</f>
        <v>3.7</v>
      </c>
      <c r="G3" s="301">
        <f t="shared" ref="G3:G12" si="3">VLOOKUP($A3,$A$296:$Z$384,7,FALSE)</f>
        <v>2.14</v>
      </c>
      <c r="H3" s="358">
        <f>F3*D3</f>
        <v>17222.02</v>
      </c>
      <c r="I3" s="301">
        <f>G3*D3</f>
        <v>9960.844000000001</v>
      </c>
      <c r="N3" s="396">
        <v>0.7</v>
      </c>
      <c r="O3" s="378" t="s">
        <v>129</v>
      </c>
      <c r="P3" s="401">
        <v>1</v>
      </c>
      <c r="Q3" s="379">
        <v>100000</v>
      </c>
      <c r="R3" s="391" t="s">
        <v>143</v>
      </c>
      <c r="S3" s="405">
        <f>ROUND(VLOOKUP(O3,$A$295:$G$384,7,FALSE)*$N3,2)</f>
        <v>1.5</v>
      </c>
      <c r="T3" s="379">
        <f>IF(R3="não",0,VLOOKUP(O3,$A$295:$G$384,6,FALSE)*Q3)</f>
        <v>370000</v>
      </c>
      <c r="U3" s="386">
        <f>IF(R3="sim",S3*Q3,0)</f>
        <v>150000</v>
      </c>
      <c r="W3" s="409">
        <f>S3-W4</f>
        <v>1.1200000000000001</v>
      </c>
    </row>
    <row r="4" spans="1:23" ht="15.75" thickBot="1" x14ac:dyDescent="0.3">
      <c r="A4" s="203" t="s">
        <v>115</v>
      </c>
      <c r="B4" s="253" t="str">
        <f t="shared" si="0"/>
        <v>PÇ</v>
      </c>
      <c r="C4" s="189">
        <f t="shared" si="1"/>
        <v>1</v>
      </c>
      <c r="D4" s="189">
        <f t="shared" ref="D4:D12" si="4">SUMIFS($H$17:$H$291,$A$17:$A$291,$A4)</f>
        <v>43</v>
      </c>
      <c r="E4" s="189">
        <f t="shared" ref="E4:E12" si="5">IF(B4="ML",D4,0)</f>
        <v>0</v>
      </c>
      <c r="F4" s="189">
        <f t="shared" si="2"/>
        <v>1.2</v>
      </c>
      <c r="G4" s="255">
        <f t="shared" si="3"/>
        <v>3.12</v>
      </c>
      <c r="H4" s="358">
        <f t="shared" ref="H4:H12" si="6">F4*D4</f>
        <v>51.6</v>
      </c>
      <c r="I4" s="301">
        <f t="shared" ref="I4:I12" si="7">G4*D4</f>
        <v>134.16</v>
      </c>
      <c r="N4" s="396">
        <v>0.68</v>
      </c>
      <c r="O4" s="380" t="s">
        <v>115</v>
      </c>
      <c r="P4" s="402">
        <v>0.7</v>
      </c>
      <c r="Q4" s="381">
        <f>$Q$3*P4</f>
        <v>70000</v>
      </c>
      <c r="R4" s="392" t="s">
        <v>143</v>
      </c>
      <c r="S4" s="406">
        <f t="shared" ref="S4:S10" si="8">ROUND(VLOOKUP(O4,$A$295:$G$384,7,FALSE)*$N4,2)</f>
        <v>2.12</v>
      </c>
      <c r="T4" s="381">
        <f t="shared" ref="T4:T10" si="9">IF(R4="não",0,VLOOKUP(O4,$A$295:$G$384,6,FALSE)*Q4)</f>
        <v>84000</v>
      </c>
      <c r="U4" s="387">
        <f t="shared" ref="U4:U10" si="10">IF(R4="sim",S4*Q4,0)</f>
        <v>148400</v>
      </c>
      <c r="W4">
        <f>ROUND(S3*(15%+10%),2)</f>
        <v>0.38</v>
      </c>
    </row>
    <row r="5" spans="1:23" ht="15.75" thickBot="1" x14ac:dyDescent="0.3">
      <c r="A5" s="203" t="s">
        <v>119</v>
      </c>
      <c r="B5" s="253" t="str">
        <f t="shared" si="0"/>
        <v>PÇ</v>
      </c>
      <c r="C5" s="189">
        <f t="shared" si="1"/>
        <v>1</v>
      </c>
      <c r="D5" s="189">
        <f t="shared" si="4"/>
        <v>0</v>
      </c>
      <c r="E5" s="189">
        <f t="shared" si="5"/>
        <v>0</v>
      </c>
      <c r="F5" s="189">
        <f t="shared" si="2"/>
        <v>1.1000000000000001</v>
      </c>
      <c r="G5" s="255">
        <f t="shared" si="3"/>
        <v>2.31</v>
      </c>
      <c r="H5" s="358">
        <f t="shared" si="6"/>
        <v>0</v>
      </c>
      <c r="I5" s="301">
        <f t="shared" si="7"/>
        <v>0</v>
      </c>
      <c r="N5" s="396">
        <v>0.68</v>
      </c>
      <c r="O5" s="382" t="s">
        <v>117</v>
      </c>
      <c r="P5" s="403">
        <v>0.1</v>
      </c>
      <c r="Q5" s="383">
        <f t="shared" ref="Q5:Q10" si="11">$Q$3*P5</f>
        <v>10000</v>
      </c>
      <c r="R5" s="393" t="s">
        <v>143</v>
      </c>
      <c r="S5" s="407">
        <f t="shared" si="8"/>
        <v>2.2799999999999998</v>
      </c>
      <c r="T5" s="383">
        <f t="shared" si="9"/>
        <v>12500</v>
      </c>
      <c r="U5" s="388">
        <f t="shared" si="10"/>
        <v>22799.999999999996</v>
      </c>
    </row>
    <row r="6" spans="1:23" ht="15.75" thickBot="1" x14ac:dyDescent="0.3">
      <c r="A6" s="203" t="s">
        <v>114</v>
      </c>
      <c r="B6" s="253" t="str">
        <f t="shared" si="0"/>
        <v>ML</v>
      </c>
      <c r="C6" s="189">
        <f t="shared" si="1"/>
        <v>1</v>
      </c>
      <c r="D6" s="189">
        <f t="shared" si="4"/>
        <v>3535</v>
      </c>
      <c r="E6" s="189">
        <f t="shared" si="5"/>
        <v>3535</v>
      </c>
      <c r="F6" s="189">
        <f t="shared" si="2"/>
        <v>5.73</v>
      </c>
      <c r="G6" s="255">
        <f t="shared" si="3"/>
        <v>3.75</v>
      </c>
      <c r="H6" s="358">
        <f t="shared" si="6"/>
        <v>20255.550000000003</v>
      </c>
      <c r="I6" s="301">
        <f t="shared" si="7"/>
        <v>13256.25</v>
      </c>
      <c r="N6" s="396">
        <v>0.68</v>
      </c>
      <c r="O6" s="380" t="s">
        <v>119</v>
      </c>
      <c r="P6" s="402">
        <v>0.1</v>
      </c>
      <c r="Q6" s="381">
        <f t="shared" si="11"/>
        <v>10000</v>
      </c>
      <c r="R6" s="392" t="s">
        <v>143</v>
      </c>
      <c r="S6" s="406">
        <f t="shared" si="8"/>
        <v>1.57</v>
      </c>
      <c r="T6" s="381">
        <f t="shared" si="9"/>
        <v>11000</v>
      </c>
      <c r="U6" s="387">
        <f t="shared" si="10"/>
        <v>15700</v>
      </c>
      <c r="W6" s="410">
        <f>W3/S3</f>
        <v>0.7466666666666667</v>
      </c>
    </row>
    <row r="7" spans="1:23" ht="15.75" thickBot="1" x14ac:dyDescent="0.3">
      <c r="A7" s="203" t="s">
        <v>235</v>
      </c>
      <c r="B7" s="253" t="str">
        <f t="shared" si="0"/>
        <v>ML</v>
      </c>
      <c r="C7" s="189">
        <f t="shared" si="1"/>
        <v>1</v>
      </c>
      <c r="D7" s="189">
        <f t="shared" si="4"/>
        <v>1829</v>
      </c>
      <c r="E7" s="189">
        <f t="shared" si="5"/>
        <v>1829</v>
      </c>
      <c r="F7" s="189">
        <f t="shared" si="2"/>
        <v>3.7</v>
      </c>
      <c r="G7" s="255">
        <f t="shared" si="3"/>
        <v>3.75</v>
      </c>
      <c r="H7" s="358">
        <f t="shared" si="6"/>
        <v>6767.3</v>
      </c>
      <c r="I7" s="301">
        <f t="shared" si="7"/>
        <v>6858.75</v>
      </c>
      <c r="N7" s="396">
        <v>0.68</v>
      </c>
      <c r="O7" s="382" t="s">
        <v>88</v>
      </c>
      <c r="P7" s="403">
        <v>0.05</v>
      </c>
      <c r="Q7" s="383">
        <f t="shared" si="11"/>
        <v>5000</v>
      </c>
      <c r="R7" s="393" t="s">
        <v>143</v>
      </c>
      <c r="S7" s="407">
        <f t="shared" si="8"/>
        <v>1.97</v>
      </c>
      <c r="T7" s="383">
        <f t="shared" si="9"/>
        <v>6200</v>
      </c>
      <c r="U7" s="388">
        <f t="shared" si="10"/>
        <v>9850</v>
      </c>
    </row>
    <row r="8" spans="1:23" ht="15.75" thickBot="1" x14ac:dyDescent="0.3">
      <c r="A8" s="203" t="s">
        <v>88</v>
      </c>
      <c r="B8" s="253" t="str">
        <f t="shared" si="0"/>
        <v>PÇ</v>
      </c>
      <c r="C8" s="189">
        <f t="shared" si="1"/>
        <v>1</v>
      </c>
      <c r="D8" s="189">
        <f t="shared" si="4"/>
        <v>307</v>
      </c>
      <c r="E8" s="189">
        <f t="shared" si="5"/>
        <v>0</v>
      </c>
      <c r="F8" s="189">
        <f t="shared" si="2"/>
        <v>1.24</v>
      </c>
      <c r="G8" s="255">
        <f t="shared" si="3"/>
        <v>2.89</v>
      </c>
      <c r="H8" s="358">
        <f t="shared" si="6"/>
        <v>380.68</v>
      </c>
      <c r="I8" s="301">
        <f t="shared" si="7"/>
        <v>887.23</v>
      </c>
      <c r="N8" s="396">
        <v>0.68</v>
      </c>
      <c r="O8" s="380" t="s">
        <v>89</v>
      </c>
      <c r="P8" s="402">
        <v>0.02</v>
      </c>
      <c r="Q8" s="381">
        <f t="shared" si="11"/>
        <v>2000</v>
      </c>
      <c r="R8" s="392" t="s">
        <v>143</v>
      </c>
      <c r="S8" s="406">
        <f t="shared" si="8"/>
        <v>3.03</v>
      </c>
      <c r="T8" s="381">
        <f t="shared" si="9"/>
        <v>6600</v>
      </c>
      <c r="U8" s="387">
        <f t="shared" si="10"/>
        <v>6060</v>
      </c>
    </row>
    <row r="9" spans="1:23" ht="15.75" thickBot="1" x14ac:dyDescent="0.3">
      <c r="A9" s="203" t="s">
        <v>91</v>
      </c>
      <c r="B9" s="253" t="str">
        <f t="shared" si="0"/>
        <v>PÇ</v>
      </c>
      <c r="C9" s="189">
        <f t="shared" si="1"/>
        <v>1</v>
      </c>
      <c r="D9" s="189">
        <f t="shared" si="4"/>
        <v>12</v>
      </c>
      <c r="E9" s="189">
        <f t="shared" si="5"/>
        <v>0</v>
      </c>
      <c r="F9" s="189">
        <f t="shared" si="2"/>
        <v>14</v>
      </c>
      <c r="G9" s="255">
        <f t="shared" si="3"/>
        <v>25.41</v>
      </c>
      <c r="H9" s="358">
        <f t="shared" si="6"/>
        <v>168</v>
      </c>
      <c r="I9" s="301">
        <f t="shared" si="7"/>
        <v>304.92</v>
      </c>
      <c r="N9" s="396">
        <v>0.68</v>
      </c>
      <c r="O9" s="382" t="s">
        <v>91</v>
      </c>
      <c r="P9" s="403">
        <v>0.1</v>
      </c>
      <c r="Q9" s="383">
        <f t="shared" si="11"/>
        <v>10000</v>
      </c>
      <c r="R9" s="393" t="s">
        <v>143</v>
      </c>
      <c r="S9" s="407">
        <f t="shared" si="8"/>
        <v>17.28</v>
      </c>
      <c r="T9" s="383">
        <f t="shared" si="9"/>
        <v>140000</v>
      </c>
      <c r="U9" s="388">
        <f t="shared" si="10"/>
        <v>172800</v>
      </c>
    </row>
    <row r="10" spans="1:23" ht="15.75" thickBot="1" x14ac:dyDescent="0.3">
      <c r="A10" s="203" t="s">
        <v>118</v>
      </c>
      <c r="B10" s="253" t="str">
        <f t="shared" si="0"/>
        <v>PÇ</v>
      </c>
      <c r="C10" s="189">
        <f t="shared" si="1"/>
        <v>1</v>
      </c>
      <c r="D10" s="189">
        <f t="shared" si="4"/>
        <v>38</v>
      </c>
      <c r="E10" s="189">
        <f t="shared" si="5"/>
        <v>0</v>
      </c>
      <c r="F10" s="189">
        <f t="shared" si="2"/>
        <v>3</v>
      </c>
      <c r="G10" s="255">
        <f t="shared" si="3"/>
        <v>2.31</v>
      </c>
      <c r="H10" s="358">
        <f t="shared" si="6"/>
        <v>114</v>
      </c>
      <c r="I10" s="301">
        <f t="shared" si="7"/>
        <v>87.78</v>
      </c>
      <c r="N10" s="396">
        <v>0.6</v>
      </c>
      <c r="O10" s="384" t="s">
        <v>251</v>
      </c>
      <c r="P10" s="404">
        <v>0.3</v>
      </c>
      <c r="Q10" s="385">
        <f t="shared" si="11"/>
        <v>30000</v>
      </c>
      <c r="R10" s="394" t="s">
        <v>144</v>
      </c>
      <c r="S10" s="408">
        <f t="shared" si="8"/>
        <v>5.99</v>
      </c>
      <c r="T10" s="385">
        <f t="shared" si="9"/>
        <v>0</v>
      </c>
      <c r="U10" s="389">
        <f t="shared" si="10"/>
        <v>0</v>
      </c>
    </row>
    <row r="11" spans="1:23" ht="15.75" thickBot="1" x14ac:dyDescent="0.3">
      <c r="A11" s="203" t="s">
        <v>120</v>
      </c>
      <c r="B11" s="253" t="str">
        <f t="shared" si="0"/>
        <v>ML</v>
      </c>
      <c r="C11" s="189">
        <f t="shared" si="1"/>
        <v>1</v>
      </c>
      <c r="D11" s="189">
        <f t="shared" si="4"/>
        <v>22262</v>
      </c>
      <c r="E11" s="189">
        <f t="shared" si="5"/>
        <v>22262</v>
      </c>
      <c r="F11" s="189">
        <f t="shared" si="2"/>
        <v>10</v>
      </c>
      <c r="G11" s="255">
        <f t="shared" si="3"/>
        <v>9.98</v>
      </c>
      <c r="H11" s="358">
        <f t="shared" si="6"/>
        <v>222620</v>
      </c>
      <c r="I11" s="301">
        <f t="shared" si="7"/>
        <v>222174.76</v>
      </c>
      <c r="O11" s="482" t="s">
        <v>394</v>
      </c>
      <c r="P11" s="483"/>
      <c r="Q11" s="483"/>
      <c r="R11" s="483"/>
      <c r="S11" s="483"/>
      <c r="T11" s="400">
        <f>SUM(T3:T10)</f>
        <v>630300</v>
      </c>
      <c r="U11" s="398">
        <f>SUM(U3:U10)</f>
        <v>525610</v>
      </c>
      <c r="W11" s="29">
        <f>U11*W6</f>
        <v>392455.46666666667</v>
      </c>
    </row>
    <row r="12" spans="1:23" ht="15.75" thickBot="1" x14ac:dyDescent="0.3">
      <c r="A12" s="203" t="s">
        <v>121</v>
      </c>
      <c r="B12" s="300" t="str">
        <f t="shared" si="0"/>
        <v>ML</v>
      </c>
      <c r="C12" s="286">
        <f t="shared" si="1"/>
        <v>1</v>
      </c>
      <c r="D12" s="286">
        <f t="shared" si="4"/>
        <v>0</v>
      </c>
      <c r="E12" s="286">
        <f t="shared" si="5"/>
        <v>0</v>
      </c>
      <c r="F12" s="286">
        <f t="shared" si="2"/>
        <v>1.1200000000000001</v>
      </c>
      <c r="G12" s="357">
        <f t="shared" si="3"/>
        <v>7.22</v>
      </c>
      <c r="H12" s="359">
        <f t="shared" si="6"/>
        <v>0</v>
      </c>
      <c r="I12" s="302">
        <f t="shared" si="7"/>
        <v>0</v>
      </c>
      <c r="O12" s="487" t="s">
        <v>128</v>
      </c>
      <c r="P12" s="488"/>
      <c r="Q12" s="488"/>
      <c r="R12" s="488"/>
      <c r="S12" s="489"/>
      <c r="T12" s="390">
        <f>ROUNDUP(T11/25000,0)</f>
        <v>26</v>
      </c>
      <c r="U12" s="377"/>
    </row>
    <row r="13" spans="1:23" ht="15.75" thickBot="1" x14ac:dyDescent="0.3">
      <c r="D13" s="177"/>
      <c r="E13" s="286">
        <f>SUM(E3:E12)</f>
        <v>32280.6</v>
      </c>
      <c r="F13" s="177"/>
      <c r="G13" s="357">
        <f>I13/E13</f>
        <v>7.8581158342781743</v>
      </c>
      <c r="H13" s="360">
        <f>SUM(H3:H12)</f>
        <v>267579.15000000002</v>
      </c>
      <c r="I13" s="361">
        <f>SUM(I3:I12)</f>
        <v>253664.69400000002</v>
      </c>
      <c r="K13" s="346"/>
      <c r="O13" s="484" t="s">
        <v>395</v>
      </c>
      <c r="P13" s="485"/>
      <c r="Q13" s="485"/>
      <c r="R13" s="485"/>
      <c r="S13" s="486"/>
      <c r="T13" s="377"/>
      <c r="U13" s="397">
        <v>13</v>
      </c>
    </row>
    <row r="14" spans="1:23" ht="15.75" thickBot="1" x14ac:dyDescent="0.3">
      <c r="O14" s="490" t="s">
        <v>396</v>
      </c>
      <c r="P14" s="491"/>
      <c r="Q14" s="491"/>
      <c r="R14" s="491"/>
      <c r="S14" s="492"/>
      <c r="T14" s="376"/>
      <c r="U14" s="399">
        <f>U13*U11</f>
        <v>6832930</v>
      </c>
      <c r="W14" s="29">
        <f>U11*6</f>
        <v>3153660</v>
      </c>
    </row>
    <row r="15" spans="1:23" ht="15.75" thickBot="1" x14ac:dyDescent="0.3">
      <c r="A15" s="227" t="s">
        <v>353</v>
      </c>
      <c r="D15" s="345">
        <f>ROUND(((C17/2)*SQRT(D17^2+E17^2)),0)*4</f>
        <v>1748</v>
      </c>
    </row>
    <row r="16" spans="1:23" ht="15.75" thickBot="1" x14ac:dyDescent="0.3">
      <c r="A16" s="152" t="s">
        <v>22</v>
      </c>
      <c r="B16" s="205" t="s">
        <v>112</v>
      </c>
      <c r="C16" s="205" t="s">
        <v>307</v>
      </c>
      <c r="D16" s="205" t="s">
        <v>308</v>
      </c>
      <c r="E16" s="205" t="s">
        <v>309</v>
      </c>
      <c r="F16" s="205" t="s">
        <v>311</v>
      </c>
      <c r="G16" s="205" t="s">
        <v>345</v>
      </c>
      <c r="H16" s="205" t="s">
        <v>371</v>
      </c>
      <c r="W16" s="29">
        <f>U14*W6</f>
        <v>5101921.0666666673</v>
      </c>
    </row>
    <row r="17" spans="1:30" ht="15.75" thickBot="1" x14ac:dyDescent="0.3">
      <c r="A17" s="203" t="s">
        <v>313</v>
      </c>
      <c r="B17" s="236">
        <f>SUMIFS(Simulador!D$85:D$116,Simulador!$A$85:$A$116,'Tabela de preços por Item'!$A17)</f>
        <v>2</v>
      </c>
      <c r="C17" s="236">
        <f>SUMIFS(Simulador!E$85:E$116,Simulador!$A$85:$A$116,'Tabela de preços por Item'!$A17)</f>
        <v>10</v>
      </c>
      <c r="D17" s="236">
        <f>SUMIFS(Simulador!F$85:F$116,Simulador!$A$85:$A$116,'Tabela de preços por Item'!$A17)</f>
        <v>8</v>
      </c>
      <c r="E17" s="236">
        <f>SUMIFS(Simulador!G$85:G$116,Simulador!$A$85:$A$116,'Tabela de preços por Item'!$A17)</f>
        <v>87</v>
      </c>
      <c r="F17" s="236">
        <f>SUMIFS(Simulador!H$85:H$116,Simulador!$A$85:$A$116,'Tabela de preços por Item'!$A17)</f>
        <v>0</v>
      </c>
      <c r="G17" s="236">
        <f>SUMIFS(Simulador!I$85:I$116,Simulador!$A$85:$A$116,'Tabela de preços por Item'!$A17)</f>
        <v>1</v>
      </c>
      <c r="H17" s="237" t="s">
        <v>270</v>
      </c>
      <c r="AD17" t="s">
        <v>355</v>
      </c>
    </row>
    <row r="18" spans="1:30" ht="15.75" hidden="1" outlineLevel="1" thickBot="1" x14ac:dyDescent="0.3">
      <c r="A18" s="203" t="s">
        <v>129</v>
      </c>
      <c r="B18" s="508"/>
      <c r="C18" s="288">
        <f>IF(B17=0,0,IF(H17="tubo",(C17+1.5)*2*(ROUND((D17/3)+(E17/3),0)*2)+1+ROUND(((C17/2)*SQRT(D17^2+E17^2)),0)*4,ROUND(((C17/2)*SQRT(D17^2+E17^2)),0)*4))</f>
        <v>1748</v>
      </c>
      <c r="D18" s="288">
        <f>IF(B17=0,0,IF($H$17="tubo",D17*4*2,0))</f>
        <v>0</v>
      </c>
      <c r="E18" s="288">
        <f>IF(B17=0,0,IF($H$17="tubo",E17*4*2,0))</f>
        <v>0</v>
      </c>
      <c r="F18" s="238"/>
      <c r="G18" s="290">
        <f>IF(G17=0,0,((G17*E17)+(G17*D17))*2)</f>
        <v>190</v>
      </c>
      <c r="H18" s="294">
        <f>IF(C17&gt;6,ROUND(SUM(C18:G18)*$B$17*1.2,0),SUM(C18:G18)*$B$17)</f>
        <v>4651</v>
      </c>
      <c r="AD18" t="s">
        <v>270</v>
      </c>
    </row>
    <row r="19" spans="1:30" ht="15.75" hidden="1" outlineLevel="1" thickBot="1" x14ac:dyDescent="0.3">
      <c r="A19" s="203" t="s">
        <v>115</v>
      </c>
      <c r="B19" s="509"/>
      <c r="C19" s="289">
        <f>IF(B17=0,0,IF(H17="tubo",C17*6+15,B17*4+C24*2))</f>
        <v>18</v>
      </c>
      <c r="D19" s="239"/>
      <c r="E19" s="239"/>
      <c r="F19" s="239"/>
      <c r="G19" s="240"/>
      <c r="H19" s="294">
        <f>IF(C17&gt;6,ROUND(SUM(C19:G19)*$B$17*1.2,0),SUM(C19:G19)*$B$17)</f>
        <v>43</v>
      </c>
    </row>
    <row r="20" spans="1:30" ht="15.75" hidden="1" outlineLevel="1" thickBot="1" x14ac:dyDescent="0.3">
      <c r="A20" s="203" t="s">
        <v>119</v>
      </c>
      <c r="B20" s="509"/>
      <c r="C20" s="289">
        <f>IF(B17=0,0,IF(H17="tubo",ROUNDUP(H18/2-1,0),0))</f>
        <v>0</v>
      </c>
      <c r="D20" s="239"/>
      <c r="E20" s="239"/>
      <c r="F20" s="239"/>
      <c r="G20" s="240"/>
      <c r="H20" s="294">
        <f>IF(C17&gt;6,ROUND(SUM(C20:G20)*$B$17*1.2,0),SUM(C20:G20)*$B$17)</f>
        <v>0</v>
      </c>
    </row>
    <row r="21" spans="1:30" ht="15.75" hidden="1" outlineLevel="1" thickBot="1" x14ac:dyDescent="0.3">
      <c r="A21" s="203" t="s">
        <v>114</v>
      </c>
      <c r="B21" s="509"/>
      <c r="C21" s="289">
        <f>IF(B17=0,0,IF(H17="Encaixe",(C17+1.5)*2*(ROUND((D17/3)+(E17/3),0)*2)+1,0))</f>
        <v>1473</v>
      </c>
      <c r="D21" s="239"/>
      <c r="E21" s="239"/>
      <c r="F21" s="239"/>
      <c r="G21" s="240"/>
      <c r="H21" s="294">
        <f>IF(C17&gt;6,ROUND(SUM(C21:G21)*$B$17*1.2,0),SUM(C21:G21)*$B$17)</f>
        <v>3535</v>
      </c>
    </row>
    <row r="22" spans="1:30" ht="15.75" hidden="1" outlineLevel="1" thickBot="1" x14ac:dyDescent="0.3">
      <c r="A22" s="203" t="s">
        <v>235</v>
      </c>
      <c r="B22" s="509"/>
      <c r="C22" s="239"/>
      <c r="D22" s="289">
        <f>IF(B17=0,0,IF($H$17="encaixe",D17*4*2+1,0))</f>
        <v>65</v>
      </c>
      <c r="E22" s="289">
        <f>IF(B17=0,0,IF($H$17="encaixe",E17*4*2+1,0))</f>
        <v>697</v>
      </c>
      <c r="F22" s="239"/>
      <c r="G22" s="240"/>
      <c r="H22" s="294">
        <f>IF(C17&gt;6,ROUND(SUM(C22:G22)*$B$17*1.2,0),SUM(C22:G22)*$B$17)</f>
        <v>1829</v>
      </c>
    </row>
    <row r="23" spans="1:30" ht="15.75" hidden="1" outlineLevel="1" thickBot="1" x14ac:dyDescent="0.3">
      <c r="A23" s="203" t="s">
        <v>88</v>
      </c>
      <c r="B23" s="509"/>
      <c r="C23" s="289">
        <f>IF(B17=0,0,((ROUND((D17/3)+(E17/3),0)*4)))</f>
        <v>128</v>
      </c>
      <c r="D23" s="239"/>
      <c r="E23" s="239"/>
      <c r="F23" s="239"/>
      <c r="G23" s="240"/>
      <c r="H23" s="294">
        <f>IF(C17&gt;6,ROUND(SUM(C23:G23)*$B$17*1.2,0),SUM(C23:G23)*$B$17)</f>
        <v>307</v>
      </c>
    </row>
    <row r="24" spans="1:30" ht="15.75" hidden="1" outlineLevel="1" thickBot="1" x14ac:dyDescent="0.3">
      <c r="A24" s="203" t="s">
        <v>91</v>
      </c>
      <c r="B24" s="509"/>
      <c r="C24" s="291">
        <f>IF(B17=0,0,ROUNDUP(C17/2,0))</f>
        <v>5</v>
      </c>
      <c r="D24" s="241"/>
      <c r="E24" s="241"/>
      <c r="F24" s="241"/>
      <c r="G24" s="242"/>
      <c r="H24" s="294">
        <f>IF(C17&gt;6,ROUND(SUM(C24:G24)*$B$17*1.2,0),SUM(C24:G24)*$B$17)</f>
        <v>12</v>
      </c>
    </row>
    <row r="25" spans="1:30" ht="15.75" hidden="1" outlineLevel="1" thickBot="1" x14ac:dyDescent="0.3">
      <c r="A25" s="203" t="s">
        <v>118</v>
      </c>
      <c r="B25" s="509"/>
      <c r="C25" s="292">
        <f>IF(B17=0,0,IF(C17&lt;=2,0,(C17-2)/0.5))</f>
        <v>16</v>
      </c>
      <c r="D25" s="241"/>
      <c r="E25" s="241"/>
      <c r="F25" s="241"/>
      <c r="G25" s="242"/>
      <c r="H25" s="294">
        <f>IF(C17&gt;6,ROUND(SUM(C25:G25)*$B$17*1.2,0),SUM(C25:G25)*$B$17)</f>
        <v>38</v>
      </c>
    </row>
    <row r="26" spans="1:30" ht="15.75" hidden="1" outlineLevel="1" thickBot="1" x14ac:dyDescent="0.3">
      <c r="A26" s="203" t="s">
        <v>120</v>
      </c>
      <c r="B26" s="509"/>
      <c r="C26" s="291">
        <f>(ROUND((D17*E17)/0.3-1,0)*(F17+1)+ROUND((D17*E17)/0.3-1,0)*(G17))*B17</f>
        <v>9276</v>
      </c>
      <c r="D26" s="241"/>
      <c r="E26" s="241"/>
      <c r="F26" s="241"/>
      <c r="G26" s="242"/>
      <c r="H26" s="294">
        <f>IF(C17&gt;6,ROUND(SUM(C26:G26)*$B$17*1.2,0),SUM(C26:G26)*$B$17)</f>
        <v>22262</v>
      </c>
    </row>
    <row r="27" spans="1:30" ht="15.75" hidden="1" outlineLevel="1" thickBot="1" x14ac:dyDescent="0.3">
      <c r="A27" s="203" t="s">
        <v>121</v>
      </c>
      <c r="B27" s="510"/>
      <c r="C27" s="293">
        <f>IF(B17=0,0,(D17+E17)*2*B17*F17*IF(G17=0,1,G17))</f>
        <v>0</v>
      </c>
      <c r="D27" s="243"/>
      <c r="E27" s="243"/>
      <c r="F27" s="243"/>
      <c r="G27" s="244"/>
      <c r="H27" s="294">
        <f>IF(C17&gt;6,ROUND(SUM(C27:G27)*$B$17*1.2,0),SUM(C27:G27)*$B$17)</f>
        <v>0</v>
      </c>
    </row>
    <row r="28" spans="1:30" ht="15.75" collapsed="1" thickBot="1" x14ac:dyDescent="0.3">
      <c r="A28" s="203" t="s">
        <v>314</v>
      </c>
      <c r="B28" s="236">
        <f>SUMIFS(Simulador!D$85:D$116,Simulador!$A$85:$A$116,'Tabela de preços por Item'!$A28)</f>
        <v>0</v>
      </c>
      <c r="C28" s="236">
        <f>SUMIFS(Simulador!E$85:E$116,Simulador!$A$85:$A$116,'Tabela de preços por Item'!$A28)</f>
        <v>0</v>
      </c>
      <c r="D28" s="236">
        <f>SUMIFS(Simulador!F$85:F$116,Simulador!$A$85:$A$116,'Tabela de preços por Item'!$A28)</f>
        <v>0</v>
      </c>
      <c r="E28" s="236">
        <f>SUMIFS(Simulador!G$85:G$116,Simulador!$A$85:$A$116,'Tabela de preços por Item'!$A28)</f>
        <v>0</v>
      </c>
      <c r="F28" s="236">
        <f>SUMIFS(Simulador!H$85:H$116,Simulador!$A$85:$A$116,'Tabela de preços por Item'!$A28)</f>
        <v>0</v>
      </c>
      <c r="G28" s="236">
        <f>SUMIFS(Simulador!I$85:I$116,Simulador!$A$85:$A$116,'Tabela de preços por Item'!$A28)</f>
        <v>0</v>
      </c>
      <c r="H28" s="237" t="s">
        <v>355</v>
      </c>
    </row>
    <row r="29" spans="1:30" ht="15.75" hidden="1" outlineLevel="1" thickBot="1" x14ac:dyDescent="0.3">
      <c r="A29" s="203" t="s">
        <v>129</v>
      </c>
      <c r="B29" s="508"/>
      <c r="C29" s="288">
        <f>IF(B28=0,0,IF(H28="tubo",(C28+1.5)*2*(ROUND((D28/3)+(E28/3),0)*2)+1+ROUND(((C28/2)*SQRT(D28^2+E28^2)),0)*4,ROUND(((C28/2)*SQRT(D28^2+E28^2)),0)*4))</f>
        <v>0</v>
      </c>
      <c r="D29" s="288">
        <f>IF(B28=0,0,IF($H$17="tubo",D28*4*2,0))</f>
        <v>0</v>
      </c>
      <c r="E29" s="288">
        <f>IF(B28=0,0,IF($H$17="tubo",E28*4*2,0))</f>
        <v>0</v>
      </c>
      <c r="F29" s="238"/>
      <c r="G29" s="290">
        <f>IF(G28=0,0,((G28*E28)+(G28*D28))*2)</f>
        <v>0</v>
      </c>
      <c r="H29" s="294">
        <f>IF(C28&gt;6,ROUND(SUM(C29:G29)*$B$17*1.2,0),SUM(C29:G29)*$B$17)</f>
        <v>0</v>
      </c>
    </row>
    <row r="30" spans="1:30" ht="15.75" hidden="1" outlineLevel="1" thickBot="1" x14ac:dyDescent="0.3">
      <c r="A30" s="203" t="s">
        <v>115</v>
      </c>
      <c r="B30" s="509"/>
      <c r="C30" s="289">
        <f>IF(B28=0,0,IF(H28="tubo",C28*6+15,B28*4+C35*2))</f>
        <v>0</v>
      </c>
      <c r="D30" s="239"/>
      <c r="E30" s="239"/>
      <c r="F30" s="239"/>
      <c r="G30" s="240"/>
      <c r="H30" s="294">
        <f>IF(C28&gt;6,ROUND(SUM(C30:G30)*$B$17*1.2,0),SUM(C30:G30)*$B$17)</f>
        <v>0</v>
      </c>
    </row>
    <row r="31" spans="1:30" ht="15.75" hidden="1" outlineLevel="1" thickBot="1" x14ac:dyDescent="0.3">
      <c r="A31" s="203" t="s">
        <v>119</v>
      </c>
      <c r="B31" s="509"/>
      <c r="C31" s="289">
        <f>IF(B28=0,0,IF(H28="tubo",ROUNDUP(H29/2-1,0),0))</f>
        <v>0</v>
      </c>
      <c r="D31" s="239"/>
      <c r="E31" s="239"/>
      <c r="F31" s="239"/>
      <c r="G31" s="240"/>
      <c r="H31" s="294">
        <f>IF(C28&gt;6,ROUND(SUM(C31:G31)*$B$17*1.2,0),SUM(C31:G31)*$B$17)</f>
        <v>0</v>
      </c>
    </row>
    <row r="32" spans="1:30" ht="15.75" hidden="1" outlineLevel="1" thickBot="1" x14ac:dyDescent="0.3">
      <c r="A32" s="203" t="s">
        <v>114</v>
      </c>
      <c r="B32" s="509"/>
      <c r="C32" s="289">
        <f>IF(B28=0,0,IF(H28="Encaixe",(C28+1.5)*2*(ROUND((D28/3)+(E28/3),0)*2)+1,0))</f>
        <v>0</v>
      </c>
      <c r="D32" s="239"/>
      <c r="E32" s="239"/>
      <c r="F32" s="239"/>
      <c r="G32" s="240"/>
      <c r="H32" s="294">
        <f>IF(C28&gt;6,ROUND(SUM(C32:G32)*$B$17*1.2,0),SUM(C32:G32)*$B$17)</f>
        <v>0</v>
      </c>
    </row>
    <row r="33" spans="1:8" ht="15.75" hidden="1" outlineLevel="1" thickBot="1" x14ac:dyDescent="0.3">
      <c r="A33" s="203" t="s">
        <v>235</v>
      </c>
      <c r="B33" s="509"/>
      <c r="C33" s="239"/>
      <c r="D33" s="289">
        <f>IF(B28=0,0,IF($H$17="encaixe",D28*4*2+1,0))</f>
        <v>0</v>
      </c>
      <c r="E33" s="289">
        <f>IF(B28=0,0,IF($H$17="encaixe",E28*4*2+1,0))</f>
        <v>0</v>
      </c>
      <c r="F33" s="239"/>
      <c r="G33" s="240"/>
      <c r="H33" s="294">
        <f>IF(C28&gt;6,ROUND(SUM(C33:G33)*$B$17*1.2,0),SUM(C33:G33)*$B$17)</f>
        <v>0</v>
      </c>
    </row>
    <row r="34" spans="1:8" ht="15.75" hidden="1" outlineLevel="1" thickBot="1" x14ac:dyDescent="0.3">
      <c r="A34" s="203" t="s">
        <v>88</v>
      </c>
      <c r="B34" s="509"/>
      <c r="C34" s="289">
        <f>IF(B28=0,0,((ROUND((D28/3)+(E28/3),0)*4)))</f>
        <v>0</v>
      </c>
      <c r="D34" s="239"/>
      <c r="E34" s="239"/>
      <c r="F34" s="239"/>
      <c r="G34" s="240"/>
      <c r="H34" s="294">
        <f>IF(C28&gt;6,ROUND(SUM(C34:G34)*$B$17*1.2,0),SUM(C34:G34)*$B$17)</f>
        <v>0</v>
      </c>
    </row>
    <row r="35" spans="1:8" ht="15.75" hidden="1" outlineLevel="1" thickBot="1" x14ac:dyDescent="0.3">
      <c r="A35" s="203" t="s">
        <v>91</v>
      </c>
      <c r="B35" s="509"/>
      <c r="C35" s="291">
        <f>IF(B28=0,0,ROUNDUP(C28/2,0))</f>
        <v>0</v>
      </c>
      <c r="D35" s="241"/>
      <c r="E35" s="241"/>
      <c r="F35" s="241"/>
      <c r="G35" s="242"/>
      <c r="H35" s="294">
        <f>IF(C28&gt;6,ROUND(SUM(C35:G35)*$B$17*1.2,0),SUM(C35:G35)*$B$17)</f>
        <v>0</v>
      </c>
    </row>
    <row r="36" spans="1:8" ht="15.75" hidden="1" outlineLevel="1" thickBot="1" x14ac:dyDescent="0.3">
      <c r="A36" s="203" t="s">
        <v>118</v>
      </c>
      <c r="B36" s="509"/>
      <c r="C36" s="292">
        <f>IF(B28=0,0,IF(C28&lt;=2,0,(C28-2)/0.5))</f>
        <v>0</v>
      </c>
      <c r="D36" s="241"/>
      <c r="E36" s="241"/>
      <c r="F36" s="241"/>
      <c r="G36" s="242"/>
      <c r="H36" s="294">
        <f>IF(C28&gt;6,ROUND(SUM(C36:G36)*$B$17*1.2,0),SUM(C36:G36)*$B$17)</f>
        <v>0</v>
      </c>
    </row>
    <row r="37" spans="1:8" ht="15.75" hidden="1" outlineLevel="1" thickBot="1" x14ac:dyDescent="0.3">
      <c r="A37" s="203" t="s">
        <v>120</v>
      </c>
      <c r="B37" s="509"/>
      <c r="C37" s="291">
        <f>(ROUND((D28*E28)/0.3-1,0)*(F28+1)+ROUND((D28*E28)/0.3-1,0)*(G28))*B28</f>
        <v>0</v>
      </c>
      <c r="D37" s="241"/>
      <c r="E37" s="241"/>
      <c r="F37" s="241"/>
      <c r="G37" s="242"/>
      <c r="H37" s="294">
        <f>IF(C28&gt;6,ROUND(SUM(C37:G37)*$B$17*1.2,0),SUM(C37:G37)*$B$17)</f>
        <v>0</v>
      </c>
    </row>
    <row r="38" spans="1:8" ht="15.75" hidden="1" outlineLevel="1" thickBot="1" x14ac:dyDescent="0.3">
      <c r="A38" s="203" t="s">
        <v>121</v>
      </c>
      <c r="B38" s="510"/>
      <c r="C38" s="293">
        <f>IF(B28=0,0,(D28+E28)*2*B28*F28*IF(G28=0,1,G28))</f>
        <v>0</v>
      </c>
      <c r="D38" s="243"/>
      <c r="E38" s="243"/>
      <c r="F38" s="243"/>
      <c r="G38" s="244"/>
      <c r="H38" s="294">
        <f>IF(C28&gt;6,ROUND(SUM(C38:G38)*$B$17*1.2,0),SUM(C38:G38)*$B$17)</f>
        <v>0</v>
      </c>
    </row>
    <row r="39" spans="1:8" ht="15.75" collapsed="1" thickBot="1" x14ac:dyDescent="0.3">
      <c r="A39" s="203" t="s">
        <v>315</v>
      </c>
      <c r="B39" s="236">
        <f>SUMIFS(Simulador!D$85:D$116,Simulador!$A$85:$A$116,'Tabela de preços por Item'!$A39)</f>
        <v>0</v>
      </c>
      <c r="C39" s="236">
        <f>SUMIFS(Simulador!E$85:E$116,Simulador!$A$85:$A$116,'Tabela de preços por Item'!$A39)</f>
        <v>0</v>
      </c>
      <c r="D39" s="236">
        <f>SUMIFS(Simulador!F$85:F$116,Simulador!$A$85:$A$116,'Tabela de preços por Item'!$A39)</f>
        <v>0</v>
      </c>
      <c r="E39" s="236">
        <f>SUMIFS(Simulador!G$85:G$116,Simulador!$A$85:$A$116,'Tabela de preços por Item'!$A39)</f>
        <v>0</v>
      </c>
      <c r="F39" s="236">
        <f>SUMIFS(Simulador!H$85:H$116,Simulador!$A$85:$A$116,'Tabela de preços por Item'!$A39)</f>
        <v>0</v>
      </c>
      <c r="G39" s="236">
        <f>SUMIFS(Simulador!I$85:I$116,Simulador!$A$85:$A$116,'Tabela de preços por Item'!$A39)</f>
        <v>0</v>
      </c>
      <c r="H39" s="237" t="s">
        <v>355</v>
      </c>
    </row>
    <row r="40" spans="1:8" ht="15.75" hidden="1" outlineLevel="1" thickBot="1" x14ac:dyDescent="0.3">
      <c r="A40" s="203" t="s">
        <v>129</v>
      </c>
      <c r="B40" s="508"/>
      <c r="C40" s="288">
        <f>IF(B39=0,0,IF(H39="tubo",(C39+1.5)*2*(ROUND((D39/3)+(E39/3),0)*2)+1+ROUND(((C39/2)*SQRT(D39^2+E39^2)),0)*4,ROUND(((C39/2)*SQRT(D39^2+E39^2)),0)*4))</f>
        <v>0</v>
      </c>
      <c r="D40" s="288">
        <f>IF(B39=0,0,IF($H$17="tubo",D39*4*2,0))</f>
        <v>0</v>
      </c>
      <c r="E40" s="288">
        <f>IF(B39=0,0,IF($H$17="tubo",E39*4*2,0))</f>
        <v>0</v>
      </c>
      <c r="F40" s="238"/>
      <c r="G40" s="290">
        <f>IF(G39=0,0,((G39*E39)+(G39*D39))*2)</f>
        <v>0</v>
      </c>
      <c r="H40" s="294">
        <f>IF(C39&gt;6,ROUND(SUM(C40:G40)*$B$17*1.2,0),SUM(C40:G40)*$B$17)</f>
        <v>0</v>
      </c>
    </row>
    <row r="41" spans="1:8" ht="15.75" hidden="1" outlineLevel="1" thickBot="1" x14ac:dyDescent="0.3">
      <c r="A41" s="203" t="s">
        <v>115</v>
      </c>
      <c r="B41" s="509"/>
      <c r="C41" s="289">
        <f>IF(B39=0,0,IF(H39="tubo",C39*6+15,B39*4+C46*2))</f>
        <v>0</v>
      </c>
      <c r="D41" s="239"/>
      <c r="E41" s="239"/>
      <c r="F41" s="239"/>
      <c r="G41" s="240"/>
      <c r="H41" s="294">
        <f>IF(C39&gt;6,ROUND(SUM(C41:G41)*$B$17*1.2,0),SUM(C41:G41)*$B$17)</f>
        <v>0</v>
      </c>
    </row>
    <row r="42" spans="1:8" ht="15.75" hidden="1" outlineLevel="1" thickBot="1" x14ac:dyDescent="0.3">
      <c r="A42" s="203" t="s">
        <v>119</v>
      </c>
      <c r="B42" s="509"/>
      <c r="C42" s="289">
        <f>IF(B39=0,0,IF(H39="tubo",ROUNDUP(H40/2-1,0),0))</f>
        <v>0</v>
      </c>
      <c r="D42" s="239"/>
      <c r="E42" s="239"/>
      <c r="F42" s="239"/>
      <c r="G42" s="240"/>
      <c r="H42" s="294">
        <f>IF(C39&gt;6,ROUND(SUM(C42:G42)*$B$17*1.2,0),SUM(C42:G42)*$B$17)</f>
        <v>0</v>
      </c>
    </row>
    <row r="43" spans="1:8" ht="15.75" hidden="1" outlineLevel="1" thickBot="1" x14ac:dyDescent="0.3">
      <c r="A43" s="203" t="s">
        <v>114</v>
      </c>
      <c r="B43" s="509"/>
      <c r="C43" s="289">
        <f>IF(B39=0,0,IF(H39="Encaixe",(C39+1.5)*2*(ROUND((D39/3)+(E39/3),0)*2)+1,0))</f>
        <v>0</v>
      </c>
      <c r="D43" s="239"/>
      <c r="E43" s="239"/>
      <c r="F43" s="239"/>
      <c r="G43" s="240"/>
      <c r="H43" s="294">
        <f>IF(C39&gt;6,ROUND(SUM(C43:G43)*$B$17*1.2,0),SUM(C43:G43)*$B$17)</f>
        <v>0</v>
      </c>
    </row>
    <row r="44" spans="1:8" ht="15.75" hidden="1" outlineLevel="1" thickBot="1" x14ac:dyDescent="0.3">
      <c r="A44" s="203" t="s">
        <v>235</v>
      </c>
      <c r="B44" s="509"/>
      <c r="C44" s="239"/>
      <c r="D44" s="289">
        <f>IF(B39=0,0,IF($H$17="encaixe",D39*4*2+1,0))</f>
        <v>0</v>
      </c>
      <c r="E44" s="289">
        <f>IF(B39=0,0,IF($H$17="encaixe",E39*4*2+1,0))</f>
        <v>0</v>
      </c>
      <c r="F44" s="239"/>
      <c r="G44" s="240"/>
      <c r="H44" s="294">
        <f>IF(C39&gt;6,ROUND(SUM(C44:G44)*$B$17*1.2,0),SUM(C44:G44)*$B$17)</f>
        <v>0</v>
      </c>
    </row>
    <row r="45" spans="1:8" ht="15.75" hidden="1" outlineLevel="1" thickBot="1" x14ac:dyDescent="0.3">
      <c r="A45" s="203" t="s">
        <v>88</v>
      </c>
      <c r="B45" s="509"/>
      <c r="C45" s="289">
        <f>IF(B39=0,0,((ROUND((D39/3)+(E39/3),0)*4)))</f>
        <v>0</v>
      </c>
      <c r="D45" s="239"/>
      <c r="E45" s="239"/>
      <c r="F45" s="239"/>
      <c r="G45" s="240"/>
      <c r="H45" s="294">
        <f>IF(C39&gt;6,ROUND(SUM(C45:G45)*$B$17*1.2,0),SUM(C45:G45)*$B$17)</f>
        <v>0</v>
      </c>
    </row>
    <row r="46" spans="1:8" ht="15.75" hidden="1" outlineLevel="1" thickBot="1" x14ac:dyDescent="0.3">
      <c r="A46" s="203" t="s">
        <v>91</v>
      </c>
      <c r="B46" s="509"/>
      <c r="C46" s="291">
        <f>IF(B39=0,0,ROUNDUP(C39/2,0))</f>
        <v>0</v>
      </c>
      <c r="D46" s="241"/>
      <c r="E46" s="241"/>
      <c r="F46" s="241"/>
      <c r="G46" s="242"/>
      <c r="H46" s="294">
        <f>IF(C39&gt;6,ROUND(SUM(C46:G46)*$B$17*1.2,0),SUM(C46:G46)*$B$17)</f>
        <v>0</v>
      </c>
    </row>
    <row r="47" spans="1:8" ht="15.75" hidden="1" outlineLevel="1" thickBot="1" x14ac:dyDescent="0.3">
      <c r="A47" s="203" t="s">
        <v>118</v>
      </c>
      <c r="B47" s="509"/>
      <c r="C47" s="292">
        <f>IF(B39=0,0,IF(C39&lt;=2,0,(C39-2)/0.5))</f>
        <v>0</v>
      </c>
      <c r="D47" s="241"/>
      <c r="E47" s="241"/>
      <c r="F47" s="241"/>
      <c r="G47" s="242"/>
      <c r="H47" s="294">
        <f>IF(C39&gt;6,ROUND(SUM(C47:G47)*$B$17*1.2,0),SUM(C47:G47)*$B$17)</f>
        <v>0</v>
      </c>
    </row>
    <row r="48" spans="1:8" ht="15.75" hidden="1" outlineLevel="1" thickBot="1" x14ac:dyDescent="0.3">
      <c r="A48" s="203" t="s">
        <v>120</v>
      </c>
      <c r="B48" s="509"/>
      <c r="C48" s="291">
        <f>(ROUND((D39*E39)/0.3-1,0)*(F39+1)+ROUND((D39*E39)/0.3-1,0)*(G39))*B39</f>
        <v>0</v>
      </c>
      <c r="D48" s="241"/>
      <c r="E48" s="241"/>
      <c r="F48" s="241"/>
      <c r="G48" s="242"/>
      <c r="H48" s="294">
        <f>IF(C39&gt;6,ROUND(SUM(C48:G48)*$B$17*1.2,0),SUM(C48:G48)*$B$17)</f>
        <v>0</v>
      </c>
    </row>
    <row r="49" spans="1:8" ht="15.75" hidden="1" outlineLevel="1" thickBot="1" x14ac:dyDescent="0.3">
      <c r="A49" s="203" t="s">
        <v>121</v>
      </c>
      <c r="B49" s="510"/>
      <c r="C49" s="293">
        <f>IF(B39=0,0,(D39+E39)*2*B39*F39*IF(G39=0,1,G39))</f>
        <v>0</v>
      </c>
      <c r="D49" s="243"/>
      <c r="E49" s="243"/>
      <c r="F49" s="243"/>
      <c r="G49" s="244"/>
      <c r="H49" s="294">
        <f>IF(C39&gt;6,ROUND(SUM(C49:G49)*$B$17*1.2,0),SUM(C49:G49)*$B$17)</f>
        <v>0</v>
      </c>
    </row>
    <row r="50" spans="1:8" ht="15.75" collapsed="1" thickBot="1" x14ac:dyDescent="0.3">
      <c r="A50" s="203" t="s">
        <v>316</v>
      </c>
      <c r="B50" s="236">
        <f>SUMIFS(Simulador!D$85:D$116,Simulador!$A$85:$A$116,'Tabela de preços por Item'!$A50)</f>
        <v>0</v>
      </c>
      <c r="C50" s="236">
        <f>SUMIFS(Simulador!E$85:E$116,Simulador!$A$85:$A$116,'Tabela de preços por Item'!$A50)</f>
        <v>0</v>
      </c>
      <c r="D50" s="236">
        <f>SUMIFS(Simulador!F$85:F$116,Simulador!$A$85:$A$116,'Tabela de preços por Item'!$A50)</f>
        <v>0</v>
      </c>
      <c r="E50" s="236">
        <f>SUMIFS(Simulador!G$85:G$116,Simulador!$A$85:$A$116,'Tabela de preços por Item'!$A50)</f>
        <v>0</v>
      </c>
      <c r="F50" s="236">
        <f>SUMIFS(Simulador!H$85:H$116,Simulador!$A$85:$A$116,'Tabela de preços por Item'!$A50)</f>
        <v>0</v>
      </c>
      <c r="G50" s="236">
        <f>SUMIFS(Simulador!I$85:I$116,Simulador!$A$85:$A$116,'Tabela de preços por Item'!$A50)</f>
        <v>0</v>
      </c>
      <c r="H50" s="237" t="s">
        <v>355</v>
      </c>
    </row>
    <row r="51" spans="1:8" ht="15.75" hidden="1" outlineLevel="1" thickBot="1" x14ac:dyDescent="0.3">
      <c r="A51" s="203" t="s">
        <v>129</v>
      </c>
      <c r="B51" s="508"/>
      <c r="C51" s="288">
        <f>IF(B50=0,0,IF(H50="tubo",(C50+1.5)*2*(ROUND((D50/3)+(E50/3),0)*2)+1+ROUND(((C50/2)*SQRT(D50^2+E50^2)),0)*4,ROUND(((C50/2)*SQRT(D50^2+E50^2)),0)*4))</f>
        <v>0</v>
      </c>
      <c r="D51" s="288">
        <f>IF(B50=0,0,IF($H$17="tubo",D50*4*2,0))</f>
        <v>0</v>
      </c>
      <c r="E51" s="288">
        <f>IF(B50=0,0,IF($H$17="tubo",E50*4*2,0))</f>
        <v>0</v>
      </c>
      <c r="F51" s="238"/>
      <c r="G51" s="290">
        <f>IF(G50=0,0,((G50*E50)+(G50*D50))*2)</f>
        <v>0</v>
      </c>
      <c r="H51" s="294">
        <f>IF(C50&gt;6,ROUND(SUM(C51:G51)*$B$17*1.2,0),SUM(C51:G51)*$B$17)</f>
        <v>0</v>
      </c>
    </row>
    <row r="52" spans="1:8" ht="15.75" hidden="1" outlineLevel="1" thickBot="1" x14ac:dyDescent="0.3">
      <c r="A52" s="203" t="s">
        <v>115</v>
      </c>
      <c r="B52" s="509"/>
      <c r="C52" s="289">
        <f>IF(B50=0,0,IF(H50="tubo",C50*6+15,B50*4+C57*2))</f>
        <v>0</v>
      </c>
      <c r="D52" s="239"/>
      <c r="E52" s="239"/>
      <c r="F52" s="239"/>
      <c r="G52" s="240"/>
      <c r="H52" s="294">
        <f>IF(C50&gt;6,ROUND(SUM(C52:G52)*$B$17*1.2,0),SUM(C52:G52)*$B$17)</f>
        <v>0</v>
      </c>
    </row>
    <row r="53" spans="1:8" ht="15.75" hidden="1" outlineLevel="1" thickBot="1" x14ac:dyDescent="0.3">
      <c r="A53" s="203" t="s">
        <v>119</v>
      </c>
      <c r="B53" s="509"/>
      <c r="C53" s="289">
        <f>IF(B50=0,0,IF(H50="tubo",ROUNDUP(H51/2-1,0),0))</f>
        <v>0</v>
      </c>
      <c r="D53" s="239"/>
      <c r="E53" s="239"/>
      <c r="F53" s="239"/>
      <c r="G53" s="240"/>
      <c r="H53" s="294">
        <f>IF(C50&gt;6,ROUND(SUM(C53:G53)*$B$17*1.2,0),SUM(C53:G53)*$B$17)</f>
        <v>0</v>
      </c>
    </row>
    <row r="54" spans="1:8" ht="15.75" hidden="1" outlineLevel="1" thickBot="1" x14ac:dyDescent="0.3">
      <c r="A54" s="203" t="s">
        <v>114</v>
      </c>
      <c r="B54" s="509"/>
      <c r="C54" s="289">
        <f>IF(B50=0,0,IF(H50="Encaixe",(C50+1.5)*2*(ROUND((D50/3)+(E50/3),0)*2)+1,0))</f>
        <v>0</v>
      </c>
      <c r="D54" s="239"/>
      <c r="E54" s="239"/>
      <c r="F54" s="239"/>
      <c r="G54" s="240"/>
      <c r="H54" s="294">
        <f>IF(C50&gt;6,ROUND(SUM(C54:G54)*$B$17*1.2,0),SUM(C54:G54)*$B$17)</f>
        <v>0</v>
      </c>
    </row>
    <row r="55" spans="1:8" ht="15.75" hidden="1" outlineLevel="1" thickBot="1" x14ac:dyDescent="0.3">
      <c r="A55" s="203" t="s">
        <v>235</v>
      </c>
      <c r="B55" s="509"/>
      <c r="C55" s="239"/>
      <c r="D55" s="289">
        <f>IF(B50=0,0,IF($H$17="encaixe",D50*4*2+1,0))</f>
        <v>0</v>
      </c>
      <c r="E55" s="289">
        <f>IF(B50=0,0,IF($H$17="encaixe",E50*4*2+1,0))</f>
        <v>0</v>
      </c>
      <c r="F55" s="239"/>
      <c r="G55" s="240"/>
      <c r="H55" s="294">
        <f>IF(C50&gt;6,ROUND(SUM(C55:G55)*$B$17*1.2,0),SUM(C55:G55)*$B$17)</f>
        <v>0</v>
      </c>
    </row>
    <row r="56" spans="1:8" ht="15.75" hidden="1" outlineLevel="1" thickBot="1" x14ac:dyDescent="0.3">
      <c r="A56" s="203" t="s">
        <v>88</v>
      </c>
      <c r="B56" s="509"/>
      <c r="C56" s="289">
        <f>IF(B50=0,0,((ROUND((D50/3)+(E50/3),0)*4)))</f>
        <v>0</v>
      </c>
      <c r="D56" s="239"/>
      <c r="E56" s="239"/>
      <c r="F56" s="239"/>
      <c r="G56" s="240"/>
      <c r="H56" s="294">
        <f>IF(C50&gt;6,ROUND(SUM(C56:G56)*$B$17*1.2,0),SUM(C56:G56)*$B$17)</f>
        <v>0</v>
      </c>
    </row>
    <row r="57" spans="1:8" ht="15.75" hidden="1" outlineLevel="1" thickBot="1" x14ac:dyDescent="0.3">
      <c r="A57" s="203" t="s">
        <v>91</v>
      </c>
      <c r="B57" s="509"/>
      <c r="C57" s="291">
        <f>IF(B50=0,0,ROUNDUP(C50/2,0))</f>
        <v>0</v>
      </c>
      <c r="D57" s="241"/>
      <c r="E57" s="241"/>
      <c r="F57" s="241"/>
      <c r="G57" s="242"/>
      <c r="H57" s="294">
        <f>IF(C50&gt;6,ROUND(SUM(C57:G57)*$B$17*1.2,0),SUM(C57:G57)*$B$17)</f>
        <v>0</v>
      </c>
    </row>
    <row r="58" spans="1:8" ht="15.75" hidden="1" outlineLevel="1" thickBot="1" x14ac:dyDescent="0.3">
      <c r="A58" s="203" t="s">
        <v>118</v>
      </c>
      <c r="B58" s="509"/>
      <c r="C58" s="292">
        <f>IF(B50=0,0,IF(C50&lt;=2,0,(C50-2)/0.5))</f>
        <v>0</v>
      </c>
      <c r="D58" s="241"/>
      <c r="E58" s="241"/>
      <c r="F58" s="241"/>
      <c r="G58" s="242"/>
      <c r="H58" s="294">
        <f>IF(C50&gt;6,ROUND(SUM(C58:G58)*$B$17*1.2,0),SUM(C58:G58)*$B$17)</f>
        <v>0</v>
      </c>
    </row>
    <row r="59" spans="1:8" ht="15.75" hidden="1" outlineLevel="1" thickBot="1" x14ac:dyDescent="0.3">
      <c r="A59" s="203" t="s">
        <v>120</v>
      </c>
      <c r="B59" s="509"/>
      <c r="C59" s="291">
        <f>(ROUND((D50*E50)/0.3-1,0)*(F50+1)+ROUND((D50*E50)/0.3-1,0)*(G50))*B50</f>
        <v>0</v>
      </c>
      <c r="D59" s="241"/>
      <c r="E59" s="241"/>
      <c r="F59" s="241"/>
      <c r="G59" s="242"/>
      <c r="H59" s="294">
        <f>IF(C50&gt;6,ROUND(SUM(C59:G59)*$B$17*1.2,0),SUM(C59:G59)*$B$17)</f>
        <v>0</v>
      </c>
    </row>
    <row r="60" spans="1:8" ht="15.75" hidden="1" outlineLevel="1" thickBot="1" x14ac:dyDescent="0.3">
      <c r="A60" s="203" t="s">
        <v>121</v>
      </c>
      <c r="B60" s="510"/>
      <c r="C60" s="293">
        <f>IF(B50=0,0,(D50+E50)*2*B50*F50*IF(G50=0,1,G50))</f>
        <v>0</v>
      </c>
      <c r="D60" s="243"/>
      <c r="E60" s="243"/>
      <c r="F60" s="243"/>
      <c r="G60" s="244"/>
      <c r="H60" s="294">
        <f>IF(C50&gt;6,ROUND(SUM(C60:G60)*$B$17*1.2,0),SUM(C60:G60)*$B$17)</f>
        <v>0</v>
      </c>
    </row>
    <row r="61" spans="1:8" ht="15.75" collapsed="1" thickBot="1" x14ac:dyDescent="0.3">
      <c r="A61" s="203" t="s">
        <v>317</v>
      </c>
      <c r="B61" s="236">
        <f>SUMIFS(Simulador!D$85:D$116,Simulador!$A$85:$A$116,'Tabela de preços por Item'!$A61)</f>
        <v>0</v>
      </c>
      <c r="C61" s="236">
        <f>SUMIFS(Simulador!E$85:E$116,Simulador!$A$85:$A$116,'Tabela de preços por Item'!$A61)</f>
        <v>0</v>
      </c>
      <c r="D61" s="236">
        <f>SUMIFS(Simulador!F$85:F$116,Simulador!$A$85:$A$116,'Tabela de preços por Item'!$A61)</f>
        <v>0</v>
      </c>
      <c r="E61" s="236">
        <f>SUMIFS(Simulador!G$85:G$116,Simulador!$A$85:$A$116,'Tabela de preços por Item'!$A61)</f>
        <v>0</v>
      </c>
      <c r="F61" s="236">
        <f>SUMIFS(Simulador!H$85:H$116,Simulador!$A$85:$A$116,'Tabela de preços por Item'!$A61)</f>
        <v>0</v>
      </c>
      <c r="G61" s="236">
        <f>SUMIFS(Simulador!I$85:I$116,Simulador!$A$85:$A$116,'Tabela de preços por Item'!$A61)</f>
        <v>0</v>
      </c>
      <c r="H61" s="237" t="s">
        <v>355</v>
      </c>
    </row>
    <row r="62" spans="1:8" ht="15.75" hidden="1" outlineLevel="1" thickBot="1" x14ac:dyDescent="0.3">
      <c r="A62" s="203" t="s">
        <v>129</v>
      </c>
      <c r="B62" s="508"/>
      <c r="C62" s="288">
        <f>IF(B61=0,0,IF(H61="tubo",(C61+1.5)*2*(ROUND((D61/3)+(E61/3),0)*2)+1+ROUND(((C61/2)*SQRT(D61^2+E61^2)),0)*4,ROUND(((C61/2)*SQRT(D61^2+E61^2)),0)*4))</f>
        <v>0</v>
      </c>
      <c r="D62" s="288">
        <f>IF(B61=0,0,IF($H$17="tubo",D61*4*2,0))</f>
        <v>0</v>
      </c>
      <c r="E62" s="288">
        <f>IF(B61=0,0,IF($H$17="tubo",E61*4*2,0))</f>
        <v>0</v>
      </c>
      <c r="F62" s="238"/>
      <c r="G62" s="290">
        <f>IF(G61=0,0,((G61*E61)+(G61*D61))*2)</f>
        <v>0</v>
      </c>
      <c r="H62" s="294">
        <f>IF(C61&gt;6,ROUND(SUM(C62:G62)*$B$17*1.2,0),SUM(C62:G62)*$B$17)</f>
        <v>0</v>
      </c>
    </row>
    <row r="63" spans="1:8" ht="15.75" hidden="1" outlineLevel="1" thickBot="1" x14ac:dyDescent="0.3">
      <c r="A63" s="203" t="s">
        <v>115</v>
      </c>
      <c r="B63" s="509"/>
      <c r="C63" s="289">
        <f>IF(B61=0,0,IF(H61="tubo",C61*6+15,B61*4+C68*2))</f>
        <v>0</v>
      </c>
      <c r="D63" s="239"/>
      <c r="E63" s="239"/>
      <c r="F63" s="239"/>
      <c r="G63" s="240"/>
      <c r="H63" s="294">
        <f>IF(C61&gt;6,ROUND(SUM(C63:G63)*$B$17*1.2,0),SUM(C63:G63)*$B$17)</f>
        <v>0</v>
      </c>
    </row>
    <row r="64" spans="1:8" ht="15.75" hidden="1" outlineLevel="1" thickBot="1" x14ac:dyDescent="0.3">
      <c r="A64" s="203" t="s">
        <v>119</v>
      </c>
      <c r="B64" s="509"/>
      <c r="C64" s="289">
        <f>IF(B61=0,0,IF(H61="tubo",ROUNDUP(H62/2-1,0),0))</f>
        <v>0</v>
      </c>
      <c r="D64" s="239"/>
      <c r="E64" s="239"/>
      <c r="F64" s="239"/>
      <c r="G64" s="240"/>
      <c r="H64" s="294">
        <f>IF(C61&gt;6,ROUND(SUM(C64:G64)*$B$17*1.2,0),SUM(C64:G64)*$B$17)</f>
        <v>0</v>
      </c>
    </row>
    <row r="65" spans="1:8" ht="15.75" hidden="1" outlineLevel="1" thickBot="1" x14ac:dyDescent="0.3">
      <c r="A65" s="203" t="s">
        <v>114</v>
      </c>
      <c r="B65" s="509"/>
      <c r="C65" s="289">
        <f>IF(B61=0,0,IF(H61="Encaixe",(C61+1.5)*2*(ROUND((D61/3)+(E61/3),0)*2)+1,0))</f>
        <v>0</v>
      </c>
      <c r="D65" s="239"/>
      <c r="E65" s="239"/>
      <c r="F65" s="239"/>
      <c r="G65" s="240"/>
      <c r="H65" s="294">
        <f>IF(C61&gt;6,ROUND(SUM(C65:G65)*$B$17*1.2,0),SUM(C65:G65)*$B$17)</f>
        <v>0</v>
      </c>
    </row>
    <row r="66" spans="1:8" ht="15.75" hidden="1" outlineLevel="1" thickBot="1" x14ac:dyDescent="0.3">
      <c r="A66" s="203" t="s">
        <v>235</v>
      </c>
      <c r="B66" s="509"/>
      <c r="C66" s="239"/>
      <c r="D66" s="289">
        <f>IF(B61=0,0,IF($H$17="encaixe",D61*4*2+1,0))</f>
        <v>0</v>
      </c>
      <c r="E66" s="289">
        <f>IF(B61=0,0,IF($H$17="encaixe",E61*4*2+1,0))</f>
        <v>0</v>
      </c>
      <c r="F66" s="239"/>
      <c r="G66" s="240"/>
      <c r="H66" s="294">
        <f>IF(C61&gt;6,ROUND(SUM(C66:G66)*$B$17*1.2,0),SUM(C66:G66)*$B$17)</f>
        <v>0</v>
      </c>
    </row>
    <row r="67" spans="1:8" ht="15.75" hidden="1" outlineLevel="1" thickBot="1" x14ac:dyDescent="0.3">
      <c r="A67" s="203" t="s">
        <v>88</v>
      </c>
      <c r="B67" s="509"/>
      <c r="C67" s="289">
        <f>IF(B61=0,0,((ROUND((D61/3)+(E61/3),0)*4)))</f>
        <v>0</v>
      </c>
      <c r="D67" s="239"/>
      <c r="E67" s="239"/>
      <c r="F67" s="239"/>
      <c r="G67" s="240"/>
      <c r="H67" s="294">
        <f>IF(C61&gt;6,ROUND(SUM(C67:G67)*$B$17*1.2,0),SUM(C67:G67)*$B$17)</f>
        <v>0</v>
      </c>
    </row>
    <row r="68" spans="1:8" ht="15.75" hidden="1" outlineLevel="1" thickBot="1" x14ac:dyDescent="0.3">
      <c r="A68" s="203" t="s">
        <v>91</v>
      </c>
      <c r="B68" s="509"/>
      <c r="C68" s="291">
        <f>IF(B61=0,0,ROUNDUP(C61/2,0))</f>
        <v>0</v>
      </c>
      <c r="D68" s="241"/>
      <c r="E68" s="241"/>
      <c r="F68" s="241"/>
      <c r="G68" s="242"/>
      <c r="H68" s="294">
        <f>IF(C61&gt;6,ROUND(SUM(C68:G68)*$B$17*1.2,0),SUM(C68:G68)*$B$17)</f>
        <v>0</v>
      </c>
    </row>
    <row r="69" spans="1:8" ht="15.75" hidden="1" outlineLevel="1" thickBot="1" x14ac:dyDescent="0.3">
      <c r="A69" s="203" t="s">
        <v>118</v>
      </c>
      <c r="B69" s="509"/>
      <c r="C69" s="292">
        <f>IF(B61=0,0,IF(C61&lt;=2,0,(C61-2)/0.5))</f>
        <v>0</v>
      </c>
      <c r="D69" s="241"/>
      <c r="E69" s="241"/>
      <c r="F69" s="241"/>
      <c r="G69" s="242"/>
      <c r="H69" s="294">
        <f>IF(C61&gt;6,ROUND(SUM(C69:G69)*$B$17*1.2,0),SUM(C69:G69)*$B$17)</f>
        <v>0</v>
      </c>
    </row>
    <row r="70" spans="1:8" ht="15.75" hidden="1" outlineLevel="1" thickBot="1" x14ac:dyDescent="0.3">
      <c r="A70" s="203" t="s">
        <v>120</v>
      </c>
      <c r="B70" s="509"/>
      <c r="C70" s="291">
        <f>(ROUND((D61*E61)/0.3-1,0)*(F61+1)+ROUND((D61*E61)/0.3-1,0)*(G61))*B61</f>
        <v>0</v>
      </c>
      <c r="D70" s="241"/>
      <c r="E70" s="241"/>
      <c r="F70" s="241"/>
      <c r="G70" s="242"/>
      <c r="H70" s="294">
        <f>IF(C61&gt;6,ROUND(SUM(C70:G70)*$B$17*1.2,0),SUM(C70:G70)*$B$17)</f>
        <v>0</v>
      </c>
    </row>
    <row r="71" spans="1:8" ht="15.75" hidden="1" outlineLevel="1" thickBot="1" x14ac:dyDescent="0.3">
      <c r="A71" s="203" t="s">
        <v>121</v>
      </c>
      <c r="B71" s="510"/>
      <c r="C71" s="293">
        <f>IF(B61=0,0,(D61+E61)*2*B61*F61*IF(G61=0,1,G61))</f>
        <v>0</v>
      </c>
      <c r="D71" s="243"/>
      <c r="E71" s="243"/>
      <c r="F71" s="243"/>
      <c r="G71" s="244"/>
      <c r="H71" s="294">
        <f>IF(C61&gt;6,ROUND(SUM(C71:G71)*$B$17*1.2,0),SUM(C71:G71)*$B$17)</f>
        <v>0</v>
      </c>
    </row>
    <row r="72" spans="1:8" ht="15.75" collapsed="1" thickBot="1" x14ac:dyDescent="0.3">
      <c r="A72" s="203" t="s">
        <v>318</v>
      </c>
      <c r="B72" s="236">
        <f>SUMIFS(Simulador!D$85:D$116,Simulador!$A$85:$A$116,'Tabela de preços por Item'!$A72)</f>
        <v>0</v>
      </c>
      <c r="C72" s="236">
        <f>SUMIFS(Simulador!E$85:E$116,Simulador!$A$85:$A$116,'Tabela de preços por Item'!$A72)</f>
        <v>0</v>
      </c>
      <c r="D72" s="236">
        <f>SUMIFS(Simulador!F$85:F$116,Simulador!$A$85:$A$116,'Tabela de preços por Item'!$A72)</f>
        <v>0</v>
      </c>
      <c r="E72" s="236">
        <f>SUMIFS(Simulador!G$85:G$116,Simulador!$A$85:$A$116,'Tabela de preços por Item'!$A72)</f>
        <v>0</v>
      </c>
      <c r="F72" s="236">
        <f>SUMIFS(Simulador!H$85:H$116,Simulador!$A$85:$A$116,'Tabela de preços por Item'!$A72)</f>
        <v>0</v>
      </c>
      <c r="G72" s="236">
        <f>SUMIFS(Simulador!I$85:I$116,Simulador!$A$85:$A$116,'Tabela de preços por Item'!$A72)</f>
        <v>0</v>
      </c>
      <c r="H72" s="237" t="s">
        <v>355</v>
      </c>
    </row>
    <row r="73" spans="1:8" ht="15.75" hidden="1" outlineLevel="1" thickBot="1" x14ac:dyDescent="0.3">
      <c r="A73" s="203" t="s">
        <v>129</v>
      </c>
      <c r="B73" s="508"/>
      <c r="C73" s="288">
        <f>IF(B72=0,0,IF(H72="tubo",(C72+1.5)*2*(ROUND((D72/3)+(E72/3),0)*2)+1+ROUND(((C72/2)*SQRT(D72^2+E72^2)),0)*4,ROUND(((C72/2)*SQRT(D72^2+E72^2)),0)*4))</f>
        <v>0</v>
      </c>
      <c r="D73" s="288">
        <f>IF(B72=0,0,IF($H$17="tubo",D72*4*2,0))</f>
        <v>0</v>
      </c>
      <c r="E73" s="288">
        <f>IF(B72=0,0,IF($H$17="tubo",E72*4*2,0))</f>
        <v>0</v>
      </c>
      <c r="F73" s="238"/>
      <c r="G73" s="290">
        <f>IF(G72=0,0,((G72*E72)+(G72*D72))*2)</f>
        <v>0</v>
      </c>
      <c r="H73" s="294">
        <f>IF(C72&gt;6,ROUND(SUM(C73:G73)*$B$17*1.2,0),SUM(C73:G73)*$B$17)</f>
        <v>0</v>
      </c>
    </row>
    <row r="74" spans="1:8" ht="15.75" hidden="1" outlineLevel="1" thickBot="1" x14ac:dyDescent="0.3">
      <c r="A74" s="203" t="s">
        <v>115</v>
      </c>
      <c r="B74" s="509"/>
      <c r="C74" s="289">
        <f>IF(B72=0,0,IF(H72="tubo",C72*6+15,B72*4+C79*2))</f>
        <v>0</v>
      </c>
      <c r="D74" s="239"/>
      <c r="E74" s="239"/>
      <c r="F74" s="239"/>
      <c r="G74" s="240"/>
      <c r="H74" s="294">
        <f>IF(C72&gt;6,ROUND(SUM(C74:G74)*$B$17*1.2,0),SUM(C74:G74)*$B$17)</f>
        <v>0</v>
      </c>
    </row>
    <row r="75" spans="1:8" ht="15.75" hidden="1" outlineLevel="1" thickBot="1" x14ac:dyDescent="0.3">
      <c r="A75" s="203" t="s">
        <v>119</v>
      </c>
      <c r="B75" s="509"/>
      <c r="C75" s="289">
        <f>IF(B72=0,0,IF(H72="tubo",ROUNDUP(H73/2-1,0),0))</f>
        <v>0</v>
      </c>
      <c r="D75" s="239"/>
      <c r="E75" s="239"/>
      <c r="F75" s="239"/>
      <c r="G75" s="240"/>
      <c r="H75" s="294">
        <f>IF(C72&gt;6,ROUND(SUM(C75:G75)*$B$17*1.2,0),SUM(C75:G75)*$B$17)</f>
        <v>0</v>
      </c>
    </row>
    <row r="76" spans="1:8" ht="15.75" hidden="1" outlineLevel="1" thickBot="1" x14ac:dyDescent="0.3">
      <c r="A76" s="203" t="s">
        <v>114</v>
      </c>
      <c r="B76" s="509"/>
      <c r="C76" s="289">
        <f>IF(B72=0,0,IF(H72="Encaixe",(C72+1.5)*2*(ROUND((D72/3)+(E72/3),0)*2)+1,0))</f>
        <v>0</v>
      </c>
      <c r="D76" s="239"/>
      <c r="E76" s="239"/>
      <c r="F76" s="239"/>
      <c r="G76" s="240"/>
      <c r="H76" s="294">
        <f>IF(C72&gt;6,ROUND(SUM(C76:G76)*$B$17*1.2,0),SUM(C76:G76)*$B$17)</f>
        <v>0</v>
      </c>
    </row>
    <row r="77" spans="1:8" ht="15.75" hidden="1" outlineLevel="1" thickBot="1" x14ac:dyDescent="0.3">
      <c r="A77" s="203" t="s">
        <v>235</v>
      </c>
      <c r="B77" s="509"/>
      <c r="C77" s="239"/>
      <c r="D77" s="289">
        <f>IF(B72=0,0,IF($H$17="encaixe",D72*4*2+1,0))</f>
        <v>0</v>
      </c>
      <c r="E77" s="289">
        <f>IF(B72=0,0,IF($H$17="encaixe",E72*4*2+1,0))</f>
        <v>0</v>
      </c>
      <c r="F77" s="239"/>
      <c r="G77" s="240"/>
      <c r="H77" s="294">
        <f>IF(C72&gt;6,ROUND(SUM(C77:G77)*$B$17*1.2,0),SUM(C77:G77)*$B$17)</f>
        <v>0</v>
      </c>
    </row>
    <row r="78" spans="1:8" ht="15.75" hidden="1" outlineLevel="1" thickBot="1" x14ac:dyDescent="0.3">
      <c r="A78" s="203" t="s">
        <v>88</v>
      </c>
      <c r="B78" s="509"/>
      <c r="C78" s="289">
        <f>IF(B72=0,0,((ROUND((D72/3)+(E72/3),0)*4)))</f>
        <v>0</v>
      </c>
      <c r="D78" s="239"/>
      <c r="E78" s="239"/>
      <c r="F78" s="239"/>
      <c r="G78" s="240"/>
      <c r="H78" s="294">
        <f>IF(C72&gt;6,ROUND(SUM(C78:G78)*$B$17*1.2,0),SUM(C78:G78)*$B$17)</f>
        <v>0</v>
      </c>
    </row>
    <row r="79" spans="1:8" ht="15.75" hidden="1" outlineLevel="1" thickBot="1" x14ac:dyDescent="0.3">
      <c r="A79" s="203" t="s">
        <v>91</v>
      </c>
      <c r="B79" s="509"/>
      <c r="C79" s="291">
        <f>IF(B72=0,0,ROUNDUP(C72/2,0))</f>
        <v>0</v>
      </c>
      <c r="D79" s="241"/>
      <c r="E79" s="241"/>
      <c r="F79" s="241"/>
      <c r="G79" s="242"/>
      <c r="H79" s="294">
        <f>IF(C72&gt;6,ROUND(SUM(C79:G79)*$B$17*1.2,0),SUM(C79:G79)*$B$17)</f>
        <v>0</v>
      </c>
    </row>
    <row r="80" spans="1:8" ht="15.75" hidden="1" outlineLevel="1" thickBot="1" x14ac:dyDescent="0.3">
      <c r="A80" s="203" t="s">
        <v>118</v>
      </c>
      <c r="B80" s="509"/>
      <c r="C80" s="292">
        <f>IF(B72=0,0,IF(C72&lt;=2,0,(C72-2)/0.5))</f>
        <v>0</v>
      </c>
      <c r="D80" s="241"/>
      <c r="E80" s="241"/>
      <c r="F80" s="241"/>
      <c r="G80" s="242"/>
      <c r="H80" s="294">
        <f>IF(C72&gt;6,ROUND(SUM(C80:G80)*$B$17*1.2,0),SUM(C80:G80)*$B$17)</f>
        <v>0</v>
      </c>
    </row>
    <row r="81" spans="1:8" ht="15.75" hidden="1" outlineLevel="1" thickBot="1" x14ac:dyDescent="0.3">
      <c r="A81" s="203" t="s">
        <v>120</v>
      </c>
      <c r="B81" s="509"/>
      <c r="C81" s="291">
        <f>(ROUND((D72*E72)/0.3-1,0)*(F72+1)+ROUND((D72*E72)/0.3-1,0)*(G72))*B72</f>
        <v>0</v>
      </c>
      <c r="D81" s="241"/>
      <c r="E81" s="241"/>
      <c r="F81" s="241"/>
      <c r="G81" s="242"/>
      <c r="H81" s="294">
        <f>IF(C72&gt;6,ROUND(SUM(C81:G81)*$B$17*1.2,0),SUM(C81:G81)*$B$17)</f>
        <v>0</v>
      </c>
    </row>
    <row r="82" spans="1:8" ht="15.75" hidden="1" outlineLevel="1" thickBot="1" x14ac:dyDescent="0.3">
      <c r="A82" s="203" t="s">
        <v>121</v>
      </c>
      <c r="B82" s="510"/>
      <c r="C82" s="293">
        <f>IF(B72=0,0,(D72+E72)*2*B72*F72*IF(G72=0,1,G72))</f>
        <v>0</v>
      </c>
      <c r="D82" s="243"/>
      <c r="E82" s="243"/>
      <c r="F82" s="243"/>
      <c r="G82" s="244"/>
      <c r="H82" s="294">
        <f>IF(C72&gt;6,ROUND(SUM(C82:G82)*$B$17*1.2,0),SUM(C82:G82)*$B$17)</f>
        <v>0</v>
      </c>
    </row>
    <row r="83" spans="1:8" ht="15.75" collapsed="1" thickBot="1" x14ac:dyDescent="0.3">
      <c r="A83" s="203" t="s">
        <v>319</v>
      </c>
      <c r="B83" s="236">
        <f>SUMIFS(Simulador!D$85:D$116,Simulador!$A$85:$A$116,'Tabela de preços por Item'!$A83)</f>
        <v>0</v>
      </c>
      <c r="C83" s="236">
        <f>SUMIFS(Simulador!E$85:E$116,Simulador!$A$85:$A$116,'Tabela de preços por Item'!$A83)</f>
        <v>0</v>
      </c>
      <c r="D83" s="236">
        <f>SUMIFS(Simulador!F$85:F$116,Simulador!$A$85:$A$116,'Tabela de preços por Item'!$A83)</f>
        <v>0</v>
      </c>
      <c r="E83" s="236">
        <f>SUMIFS(Simulador!G$85:G$116,Simulador!$A$85:$A$116,'Tabela de preços por Item'!$A83)</f>
        <v>0</v>
      </c>
      <c r="F83" s="236">
        <f>SUMIFS(Simulador!H$85:H$116,Simulador!$A$85:$A$116,'Tabela de preços por Item'!$A83)</f>
        <v>0</v>
      </c>
      <c r="G83" s="236">
        <f>SUMIFS(Simulador!I$85:I$116,Simulador!$A$85:$A$116,'Tabela de preços por Item'!$A83)</f>
        <v>0</v>
      </c>
      <c r="H83" s="237" t="s">
        <v>355</v>
      </c>
    </row>
    <row r="84" spans="1:8" ht="15.75" hidden="1" outlineLevel="1" thickBot="1" x14ac:dyDescent="0.3">
      <c r="A84" s="203" t="s">
        <v>129</v>
      </c>
      <c r="B84" s="508"/>
      <c r="C84" s="288">
        <f>IF(B83=0,0,IF(H83="tubo",(C83+1.5)*2*(ROUND((D83/3)+(E83/3),0)*2)+1+ROUND(((C83/2)*SQRT(D83^2+E83^2)),0)*4,ROUND(((C83/2)*SQRT(D83^2+E83^2)),0)*4))</f>
        <v>0</v>
      </c>
      <c r="D84" s="288">
        <f>IF(B83=0,0,IF($H$17="tubo",D83*4*2,0))</f>
        <v>0</v>
      </c>
      <c r="E84" s="288">
        <f>IF(B83=0,0,IF($H$17="tubo",E83*4*2,0))</f>
        <v>0</v>
      </c>
      <c r="F84" s="238"/>
      <c r="G84" s="290">
        <f>IF(G83=0,0,((G83*E83)+(G83*D83))*2)</f>
        <v>0</v>
      </c>
      <c r="H84" s="294">
        <f>IF(C83&gt;6,ROUND(SUM(C84:G84)*$B$17*1.2,0),SUM(C84:G84)*$B$17)</f>
        <v>0</v>
      </c>
    </row>
    <row r="85" spans="1:8" ht="15.75" hidden="1" outlineLevel="1" thickBot="1" x14ac:dyDescent="0.3">
      <c r="A85" s="203" t="s">
        <v>115</v>
      </c>
      <c r="B85" s="509"/>
      <c r="C85" s="289">
        <f>IF(B83=0,0,IF(H83="tubo",C83*6+15,B83*4+C90*2))</f>
        <v>0</v>
      </c>
      <c r="D85" s="239"/>
      <c r="E85" s="239"/>
      <c r="F85" s="239"/>
      <c r="G85" s="240"/>
      <c r="H85" s="294">
        <f>IF(C83&gt;6,ROUND(SUM(C85:G85)*$B$17*1.2,0),SUM(C85:G85)*$B$17)</f>
        <v>0</v>
      </c>
    </row>
    <row r="86" spans="1:8" ht="15.75" hidden="1" outlineLevel="1" thickBot="1" x14ac:dyDescent="0.3">
      <c r="A86" s="203" t="s">
        <v>119</v>
      </c>
      <c r="B86" s="509"/>
      <c r="C86" s="289">
        <f>IF(B83=0,0,IF(H83="tubo",ROUNDUP(H84/2-1,0),0))</f>
        <v>0</v>
      </c>
      <c r="D86" s="239"/>
      <c r="E86" s="239"/>
      <c r="F86" s="239"/>
      <c r="G86" s="240"/>
      <c r="H86" s="294">
        <f>IF(C83&gt;6,ROUND(SUM(C86:G86)*$B$17*1.2,0),SUM(C86:G86)*$B$17)</f>
        <v>0</v>
      </c>
    </row>
    <row r="87" spans="1:8" ht="15.75" hidden="1" outlineLevel="1" thickBot="1" x14ac:dyDescent="0.3">
      <c r="A87" s="203" t="s">
        <v>114</v>
      </c>
      <c r="B87" s="509"/>
      <c r="C87" s="289">
        <f>IF(B83=0,0,IF(H83="Encaixe",(C83+1.5)*2*(ROUND((D83/3)+(E83/3),0)*2)+1,0))</f>
        <v>0</v>
      </c>
      <c r="D87" s="239"/>
      <c r="E87" s="239"/>
      <c r="F87" s="239"/>
      <c r="G87" s="240"/>
      <c r="H87" s="294">
        <f>IF(C83&gt;6,ROUND(SUM(C87:G87)*$B$17*1.2,0),SUM(C87:G87)*$B$17)</f>
        <v>0</v>
      </c>
    </row>
    <row r="88" spans="1:8" ht="15.75" hidden="1" outlineLevel="1" thickBot="1" x14ac:dyDescent="0.3">
      <c r="A88" s="203" t="s">
        <v>235</v>
      </c>
      <c r="B88" s="509"/>
      <c r="C88" s="239"/>
      <c r="D88" s="289">
        <f>IF(B83=0,0,IF($H$17="encaixe",D83*4*2+1,0))</f>
        <v>0</v>
      </c>
      <c r="E88" s="289">
        <f>IF(B83=0,0,IF($H$17="encaixe",E83*4*2+1,0))</f>
        <v>0</v>
      </c>
      <c r="F88" s="239"/>
      <c r="G88" s="240"/>
      <c r="H88" s="294">
        <f>IF(C83&gt;6,ROUND(SUM(C88:G88)*$B$17*1.2,0),SUM(C88:G88)*$B$17)</f>
        <v>0</v>
      </c>
    </row>
    <row r="89" spans="1:8" ht="15.75" hidden="1" outlineLevel="1" thickBot="1" x14ac:dyDescent="0.3">
      <c r="A89" s="203" t="s">
        <v>88</v>
      </c>
      <c r="B89" s="509"/>
      <c r="C89" s="289">
        <f>IF(B83=0,0,((ROUND((D83/3)+(E83/3),0)*4)))</f>
        <v>0</v>
      </c>
      <c r="D89" s="239"/>
      <c r="E89" s="239"/>
      <c r="F89" s="239"/>
      <c r="G89" s="240"/>
      <c r="H89" s="294">
        <f>IF(C83&gt;6,ROUND(SUM(C89:G89)*$B$17*1.2,0),SUM(C89:G89)*$B$17)</f>
        <v>0</v>
      </c>
    </row>
    <row r="90" spans="1:8" ht="15.75" hidden="1" outlineLevel="1" thickBot="1" x14ac:dyDescent="0.3">
      <c r="A90" s="203" t="s">
        <v>91</v>
      </c>
      <c r="B90" s="509"/>
      <c r="C90" s="291">
        <f>IF(B83=0,0,ROUNDUP(C83/2,0))</f>
        <v>0</v>
      </c>
      <c r="D90" s="241"/>
      <c r="E90" s="241"/>
      <c r="F90" s="241"/>
      <c r="G90" s="242"/>
      <c r="H90" s="294">
        <f>IF(C83&gt;6,ROUND(SUM(C90:G90)*$B$17*1.2,0),SUM(C90:G90)*$B$17)</f>
        <v>0</v>
      </c>
    </row>
    <row r="91" spans="1:8" ht="15.75" hidden="1" outlineLevel="1" thickBot="1" x14ac:dyDescent="0.3">
      <c r="A91" s="203" t="s">
        <v>118</v>
      </c>
      <c r="B91" s="509"/>
      <c r="C91" s="292">
        <f>IF(B83=0,0,IF(C83&lt;=2,0,(C83-2)/0.5))</f>
        <v>0</v>
      </c>
      <c r="D91" s="241"/>
      <c r="E91" s="241"/>
      <c r="F91" s="241"/>
      <c r="G91" s="242"/>
      <c r="H91" s="294">
        <f>IF(C83&gt;6,ROUND(SUM(C91:G91)*$B$17*1.2,0),SUM(C91:G91)*$B$17)</f>
        <v>0</v>
      </c>
    </row>
    <row r="92" spans="1:8" ht="15.75" hidden="1" outlineLevel="1" thickBot="1" x14ac:dyDescent="0.3">
      <c r="A92" s="203" t="s">
        <v>120</v>
      </c>
      <c r="B92" s="509"/>
      <c r="C92" s="291">
        <f>(ROUND((D83*E83)/0.3-1,0)*(F83+1)+ROUND((D83*E83)/0.3-1,0)*(G83))*B83</f>
        <v>0</v>
      </c>
      <c r="D92" s="241"/>
      <c r="E92" s="241"/>
      <c r="F92" s="241"/>
      <c r="G92" s="242"/>
      <c r="H92" s="294">
        <f>IF(C83&gt;6,ROUND(SUM(C92:G92)*$B$17*1.2,0),SUM(C92:G92)*$B$17)</f>
        <v>0</v>
      </c>
    </row>
    <row r="93" spans="1:8" ht="15.75" hidden="1" outlineLevel="1" thickBot="1" x14ac:dyDescent="0.3">
      <c r="A93" s="203" t="s">
        <v>121</v>
      </c>
      <c r="B93" s="510"/>
      <c r="C93" s="293">
        <f>IF(B83=0,0,(D83+E83)*2*B83*F83*IF(G83=0,1,G83))</f>
        <v>0</v>
      </c>
      <c r="D93" s="243"/>
      <c r="E93" s="243"/>
      <c r="F93" s="243"/>
      <c r="G93" s="244"/>
      <c r="H93" s="294">
        <f>IF(C83&gt;6,ROUND(SUM(C93:G93)*$B$17*1.2,0),SUM(C93:G93)*$B$17)</f>
        <v>0</v>
      </c>
    </row>
    <row r="94" spans="1:8" ht="15.75" collapsed="1" thickBot="1" x14ac:dyDescent="0.3">
      <c r="A94" s="203" t="s">
        <v>320</v>
      </c>
      <c r="B94" s="236">
        <f>SUMIFS(Simulador!D$85:D$116,Simulador!$A$85:$A$116,'Tabela de preços por Item'!$A94)</f>
        <v>0</v>
      </c>
      <c r="C94" s="236">
        <f>SUMIFS(Simulador!E$85:E$116,Simulador!$A$85:$A$116,'Tabela de preços por Item'!$A94)</f>
        <v>0</v>
      </c>
      <c r="D94" s="236">
        <f>SUMIFS(Simulador!F$85:F$116,Simulador!$A$85:$A$116,'Tabela de preços por Item'!$A94)</f>
        <v>0</v>
      </c>
      <c r="E94" s="236">
        <f>SUMIFS(Simulador!G$85:G$116,Simulador!$A$85:$A$116,'Tabela de preços por Item'!$A94)</f>
        <v>0</v>
      </c>
      <c r="F94" s="236">
        <f>SUMIFS(Simulador!H$85:H$116,Simulador!$A$85:$A$116,'Tabela de preços por Item'!$A94)</f>
        <v>0</v>
      </c>
      <c r="G94" s="236">
        <f>SUMIFS(Simulador!I$85:I$116,Simulador!$A$85:$A$116,'Tabela de preços por Item'!$A94)</f>
        <v>0</v>
      </c>
      <c r="H94" s="237" t="s">
        <v>355</v>
      </c>
    </row>
    <row r="95" spans="1:8" ht="15.75" hidden="1" outlineLevel="1" thickBot="1" x14ac:dyDescent="0.3">
      <c r="A95" s="203" t="s">
        <v>129</v>
      </c>
      <c r="B95" s="508"/>
      <c r="C95" s="288">
        <f>IF(B94=0,0,IF(H94="tubo",(C94+1.5)*2*(ROUND((D94/3)+(E94/3),0)*2)+1+ROUND(((C94/2)*SQRT(D94^2+E94^2)),0)*4,ROUND(((C94/2)*SQRT(D94^2+E94^2)),0)*4))</f>
        <v>0</v>
      </c>
      <c r="D95" s="288">
        <f>IF(B94=0,0,IF($H$17="tubo",D94*4*2,0))</f>
        <v>0</v>
      </c>
      <c r="E95" s="288">
        <f>IF(B94=0,0,IF($H$17="tubo",E94*4*2,0))</f>
        <v>0</v>
      </c>
      <c r="F95" s="238"/>
      <c r="G95" s="290">
        <f>IF(G94=0,0,((G94*E94)+(G94*D94))*2)</f>
        <v>0</v>
      </c>
      <c r="H95" s="294">
        <f>IF(C94&gt;6,ROUND(SUM(C95:G95)*$B$17*1.2,0),SUM(C95:G95)*$B$17)</f>
        <v>0</v>
      </c>
    </row>
    <row r="96" spans="1:8" ht="15.75" hidden="1" outlineLevel="1" thickBot="1" x14ac:dyDescent="0.3">
      <c r="A96" s="203" t="s">
        <v>115</v>
      </c>
      <c r="B96" s="509"/>
      <c r="C96" s="289">
        <f>IF(B94=0,0,IF(H94="tubo",C94*6+15,B94*4+C101*2))</f>
        <v>0</v>
      </c>
      <c r="D96" s="239"/>
      <c r="E96" s="239"/>
      <c r="F96" s="239"/>
      <c r="G96" s="240"/>
      <c r="H96" s="294">
        <f>IF(C94&gt;6,ROUND(SUM(C96:G96)*$B$17*1.2,0),SUM(C96:G96)*$B$17)</f>
        <v>0</v>
      </c>
    </row>
    <row r="97" spans="1:8" ht="15.75" hidden="1" outlineLevel="1" thickBot="1" x14ac:dyDescent="0.3">
      <c r="A97" s="203" t="s">
        <v>119</v>
      </c>
      <c r="B97" s="509"/>
      <c r="C97" s="289">
        <f>IF(B94=0,0,IF(H94="tubo",ROUNDUP(H95/2-1,0),0))</f>
        <v>0</v>
      </c>
      <c r="D97" s="239"/>
      <c r="E97" s="239"/>
      <c r="F97" s="239"/>
      <c r="G97" s="240"/>
      <c r="H97" s="294">
        <f>IF(C94&gt;6,ROUND(SUM(C97:G97)*$B$17*1.2,0),SUM(C97:G97)*$B$17)</f>
        <v>0</v>
      </c>
    </row>
    <row r="98" spans="1:8" ht="15.75" hidden="1" outlineLevel="1" thickBot="1" x14ac:dyDescent="0.3">
      <c r="A98" s="203" t="s">
        <v>114</v>
      </c>
      <c r="B98" s="509"/>
      <c r="C98" s="289">
        <f>IF(B94=0,0,IF(H94="Encaixe",(C94+1.5)*2*(ROUND((D94/3)+(E94/3),0)*2)+1,0))</f>
        <v>0</v>
      </c>
      <c r="D98" s="239"/>
      <c r="E98" s="239"/>
      <c r="F98" s="239"/>
      <c r="G98" s="240"/>
      <c r="H98" s="294">
        <f>IF(C94&gt;6,ROUND(SUM(C98:G98)*$B$17*1.2,0),SUM(C98:G98)*$B$17)</f>
        <v>0</v>
      </c>
    </row>
    <row r="99" spans="1:8" ht="15.75" hidden="1" outlineLevel="1" thickBot="1" x14ac:dyDescent="0.3">
      <c r="A99" s="203" t="s">
        <v>235</v>
      </c>
      <c r="B99" s="509"/>
      <c r="C99" s="239"/>
      <c r="D99" s="289">
        <f>IF(B94=0,0,IF($H$17="encaixe",D94*4*2+1,0))</f>
        <v>0</v>
      </c>
      <c r="E99" s="289">
        <f>IF(B94=0,0,IF($H$17="encaixe",E94*4*2+1,0))</f>
        <v>0</v>
      </c>
      <c r="F99" s="239"/>
      <c r="G99" s="240"/>
      <c r="H99" s="294">
        <f>IF(C94&gt;6,ROUND(SUM(C99:G99)*$B$17*1.2,0),SUM(C99:G99)*$B$17)</f>
        <v>0</v>
      </c>
    </row>
    <row r="100" spans="1:8" ht="15.75" hidden="1" outlineLevel="1" thickBot="1" x14ac:dyDescent="0.3">
      <c r="A100" s="203" t="s">
        <v>88</v>
      </c>
      <c r="B100" s="509"/>
      <c r="C100" s="289">
        <f>IF(B94=0,0,((ROUND((D94/3)+(E94/3),0)*4)))</f>
        <v>0</v>
      </c>
      <c r="D100" s="239"/>
      <c r="E100" s="239"/>
      <c r="F100" s="239"/>
      <c r="G100" s="240"/>
      <c r="H100" s="294">
        <f>IF(C94&gt;6,ROUND(SUM(C100:G100)*$B$17*1.2,0),SUM(C100:G100)*$B$17)</f>
        <v>0</v>
      </c>
    </row>
    <row r="101" spans="1:8" ht="15.75" hidden="1" outlineLevel="1" thickBot="1" x14ac:dyDescent="0.3">
      <c r="A101" s="203" t="s">
        <v>91</v>
      </c>
      <c r="B101" s="509"/>
      <c r="C101" s="291">
        <f>IF(B94=0,0,ROUNDUP(C94/2,0))</f>
        <v>0</v>
      </c>
      <c r="D101" s="241"/>
      <c r="E101" s="241"/>
      <c r="F101" s="241"/>
      <c r="G101" s="242"/>
      <c r="H101" s="294">
        <f>IF(C94&gt;6,ROUND(SUM(C101:G101)*$B$17*1.2,0),SUM(C101:G101)*$B$17)</f>
        <v>0</v>
      </c>
    </row>
    <row r="102" spans="1:8" ht="15.75" hidden="1" outlineLevel="1" thickBot="1" x14ac:dyDescent="0.3">
      <c r="A102" s="203" t="s">
        <v>118</v>
      </c>
      <c r="B102" s="509"/>
      <c r="C102" s="292">
        <f>IF(B94=0,0,IF(C94&lt;=2,0,(C94-2)/0.5))</f>
        <v>0</v>
      </c>
      <c r="D102" s="241"/>
      <c r="E102" s="241"/>
      <c r="F102" s="241"/>
      <c r="G102" s="242"/>
      <c r="H102" s="294">
        <f>IF(C94&gt;6,ROUND(SUM(C102:G102)*$B$17*1.2,0),SUM(C102:G102)*$B$17)</f>
        <v>0</v>
      </c>
    </row>
    <row r="103" spans="1:8" ht="15.75" hidden="1" outlineLevel="1" thickBot="1" x14ac:dyDescent="0.3">
      <c r="A103" s="203" t="s">
        <v>120</v>
      </c>
      <c r="B103" s="509"/>
      <c r="C103" s="291">
        <f>(ROUND((D94*E94)/0.3-1,0)*(F94+1)+ROUND((D94*E94)/0.3-1,0)*(G94))*B94</f>
        <v>0</v>
      </c>
      <c r="D103" s="241"/>
      <c r="E103" s="241"/>
      <c r="F103" s="241"/>
      <c r="G103" s="242"/>
      <c r="H103" s="294">
        <f>IF(C94&gt;6,ROUND(SUM(C103:G103)*$B$17*1.2,0),SUM(C103:G103)*$B$17)</f>
        <v>0</v>
      </c>
    </row>
    <row r="104" spans="1:8" ht="15.75" hidden="1" outlineLevel="1" thickBot="1" x14ac:dyDescent="0.3">
      <c r="A104" s="203" t="s">
        <v>121</v>
      </c>
      <c r="B104" s="510"/>
      <c r="C104" s="293">
        <f>IF(B94=0,0,(D94+E94)*2*B94*F94*IF(G94=0,1,G94))</f>
        <v>0</v>
      </c>
      <c r="D104" s="243"/>
      <c r="E104" s="243"/>
      <c r="F104" s="243"/>
      <c r="G104" s="244"/>
      <c r="H104" s="294">
        <f>IF(C94&gt;6,ROUND(SUM(C104:G104)*$B$17*1.2,0),SUM(C104:G104)*$B$17)</f>
        <v>0</v>
      </c>
    </row>
    <row r="105" spans="1:8" ht="15.75" collapsed="1" thickBot="1" x14ac:dyDescent="0.3">
      <c r="A105" s="203" t="s">
        <v>321</v>
      </c>
      <c r="B105" s="236">
        <f>SUMIFS(Simulador!D$85:D$116,Simulador!$A$85:$A$116,'Tabela de preços por Item'!$A105)</f>
        <v>0</v>
      </c>
      <c r="C105" s="236">
        <f>SUMIFS(Simulador!E$85:E$116,Simulador!$A$85:$A$116,'Tabela de preços por Item'!$A105)</f>
        <v>0</v>
      </c>
      <c r="D105" s="236">
        <f>SUMIFS(Simulador!F$85:F$116,Simulador!$A$85:$A$116,'Tabela de preços por Item'!$A105)</f>
        <v>0</v>
      </c>
      <c r="E105" s="236">
        <f>SUMIFS(Simulador!G$85:G$116,Simulador!$A$85:$A$116,'Tabela de preços por Item'!$A105)</f>
        <v>0</v>
      </c>
      <c r="F105" s="236">
        <f>SUMIFS(Simulador!H$85:H$116,Simulador!$A$85:$A$116,'Tabela de preços por Item'!$A105)</f>
        <v>0</v>
      </c>
      <c r="G105" s="236">
        <f>SUMIFS(Simulador!I$85:I$116,Simulador!$A$85:$A$116,'Tabela de preços por Item'!$A105)</f>
        <v>0</v>
      </c>
      <c r="H105" s="237" t="s">
        <v>355</v>
      </c>
    </row>
    <row r="106" spans="1:8" ht="15.75" hidden="1" outlineLevel="1" thickBot="1" x14ac:dyDescent="0.3">
      <c r="A106" s="203" t="s">
        <v>129</v>
      </c>
      <c r="B106" s="508"/>
      <c r="C106" s="288">
        <f>IF(B105=0,0,IF(H105="tubo",(C105+1.5)*2*(ROUND((D105/3)+(E105/3),0)*2)+1+ROUND(((C105/2)*SQRT(D105^2+E105^2)),0)*4,ROUND(((C105/2)*SQRT(D105^2+E105^2)),0)*4))</f>
        <v>0</v>
      </c>
      <c r="D106" s="288">
        <f>IF(B105=0,0,IF($H$17="tubo",D105*4*2,0))</f>
        <v>0</v>
      </c>
      <c r="E106" s="288">
        <f>IF(B105=0,0,IF($H$17="tubo",E105*4*2,0))</f>
        <v>0</v>
      </c>
      <c r="F106" s="238"/>
      <c r="G106" s="290">
        <f>IF(G105=0,0,((G105*E105)+(G105*D105))*2)</f>
        <v>0</v>
      </c>
      <c r="H106" s="294">
        <f>IF(C105&gt;6,ROUND(SUM(C106:G106)*$B$17*1.2,0),SUM(C106:G106)*$B$17)</f>
        <v>0</v>
      </c>
    </row>
    <row r="107" spans="1:8" ht="15.75" hidden="1" outlineLevel="1" thickBot="1" x14ac:dyDescent="0.3">
      <c r="A107" s="203" t="s">
        <v>115</v>
      </c>
      <c r="B107" s="509"/>
      <c r="C107" s="289">
        <f>IF(B105=0,0,IF(H105="tubo",C105*6+15,B105*4+C112*2))</f>
        <v>0</v>
      </c>
      <c r="D107" s="239"/>
      <c r="E107" s="239"/>
      <c r="F107" s="239"/>
      <c r="G107" s="240"/>
      <c r="H107" s="294">
        <f>IF(C105&gt;6,ROUND(SUM(C107:G107)*$B$17*1.2,0),SUM(C107:G107)*$B$17)</f>
        <v>0</v>
      </c>
    </row>
    <row r="108" spans="1:8" ht="15.75" hidden="1" outlineLevel="1" thickBot="1" x14ac:dyDescent="0.3">
      <c r="A108" s="203" t="s">
        <v>119</v>
      </c>
      <c r="B108" s="509"/>
      <c r="C108" s="289">
        <f>IF(B105=0,0,IF(H105="tubo",ROUNDUP(H106/2-1,0),0))</f>
        <v>0</v>
      </c>
      <c r="D108" s="239"/>
      <c r="E108" s="239"/>
      <c r="F108" s="239"/>
      <c r="G108" s="240"/>
      <c r="H108" s="294">
        <f>IF(C105&gt;6,ROUND(SUM(C108:G108)*$B$17*1.2,0),SUM(C108:G108)*$B$17)</f>
        <v>0</v>
      </c>
    </row>
    <row r="109" spans="1:8" ht="15.75" hidden="1" outlineLevel="1" thickBot="1" x14ac:dyDescent="0.3">
      <c r="A109" s="203" t="s">
        <v>114</v>
      </c>
      <c r="B109" s="509"/>
      <c r="C109" s="289">
        <f>IF(B105=0,0,IF(H105="Encaixe",(C105+1.5)*2*(ROUND((D105/3)+(E105/3),0)*2)+1,0))</f>
        <v>0</v>
      </c>
      <c r="D109" s="239"/>
      <c r="E109" s="239"/>
      <c r="F109" s="239"/>
      <c r="G109" s="240"/>
      <c r="H109" s="294">
        <f>IF(C105&gt;6,ROUND(SUM(C109:G109)*$B$17*1.2,0),SUM(C109:G109)*$B$17)</f>
        <v>0</v>
      </c>
    </row>
    <row r="110" spans="1:8" ht="15.75" hidden="1" outlineLevel="1" thickBot="1" x14ac:dyDescent="0.3">
      <c r="A110" s="203" t="s">
        <v>235</v>
      </c>
      <c r="B110" s="509"/>
      <c r="C110" s="239"/>
      <c r="D110" s="289">
        <f>IF(B105=0,0,IF($H$17="encaixe",D105*4*2+1,0))</f>
        <v>0</v>
      </c>
      <c r="E110" s="289">
        <f>IF(B105=0,0,IF($H$17="encaixe",E105*4*2+1,0))</f>
        <v>0</v>
      </c>
      <c r="F110" s="239"/>
      <c r="G110" s="240"/>
      <c r="H110" s="294">
        <f>IF(C105&gt;6,ROUND(SUM(C110:G110)*$B$17*1.2,0),SUM(C110:G110)*$B$17)</f>
        <v>0</v>
      </c>
    </row>
    <row r="111" spans="1:8" ht="15.75" hidden="1" outlineLevel="1" thickBot="1" x14ac:dyDescent="0.3">
      <c r="A111" s="203" t="s">
        <v>88</v>
      </c>
      <c r="B111" s="509"/>
      <c r="C111" s="289">
        <f>IF(B105=0,0,((ROUND((D105/3)+(E105/3),0)*4)))</f>
        <v>0</v>
      </c>
      <c r="D111" s="239"/>
      <c r="E111" s="239"/>
      <c r="F111" s="239"/>
      <c r="G111" s="240"/>
      <c r="H111" s="294">
        <f>IF(C105&gt;6,ROUND(SUM(C111:G111)*$B$17*1.2,0),SUM(C111:G111)*$B$17)</f>
        <v>0</v>
      </c>
    </row>
    <row r="112" spans="1:8" ht="15.75" hidden="1" outlineLevel="1" thickBot="1" x14ac:dyDescent="0.3">
      <c r="A112" s="203" t="s">
        <v>91</v>
      </c>
      <c r="B112" s="509"/>
      <c r="C112" s="291">
        <f>IF(B105=0,0,ROUNDUP(C105/2,0))</f>
        <v>0</v>
      </c>
      <c r="D112" s="241"/>
      <c r="E112" s="241"/>
      <c r="F112" s="241"/>
      <c r="G112" s="242"/>
      <c r="H112" s="294">
        <f>IF(C105&gt;6,ROUND(SUM(C112:G112)*$B$17*1.2,0),SUM(C112:G112)*$B$17)</f>
        <v>0</v>
      </c>
    </row>
    <row r="113" spans="1:8" ht="15.75" hidden="1" outlineLevel="1" thickBot="1" x14ac:dyDescent="0.3">
      <c r="A113" s="203" t="s">
        <v>118</v>
      </c>
      <c r="B113" s="509"/>
      <c r="C113" s="292">
        <f>IF(B105=0,0,IF(C105&lt;=2,0,(C105-2)/0.5))</f>
        <v>0</v>
      </c>
      <c r="D113" s="241"/>
      <c r="E113" s="241"/>
      <c r="F113" s="241"/>
      <c r="G113" s="242"/>
      <c r="H113" s="294">
        <f>IF(C105&gt;6,ROUND(SUM(C113:G113)*$B$17*1.2,0),SUM(C113:G113)*$B$17)</f>
        <v>0</v>
      </c>
    </row>
    <row r="114" spans="1:8" ht="15.75" hidden="1" outlineLevel="1" thickBot="1" x14ac:dyDescent="0.3">
      <c r="A114" s="203" t="s">
        <v>120</v>
      </c>
      <c r="B114" s="509"/>
      <c r="C114" s="291">
        <f>(ROUND((D105*E105)/0.3-1,0)*(F105+1)+ROUND((D105*E105)/0.3-1,0)*(G105))*B105</f>
        <v>0</v>
      </c>
      <c r="D114" s="241"/>
      <c r="E114" s="241"/>
      <c r="F114" s="241"/>
      <c r="G114" s="242"/>
      <c r="H114" s="294">
        <f>IF(C105&gt;6,ROUND(SUM(C114:G114)*$B$17*1.2,0),SUM(C114:G114)*$B$17)</f>
        <v>0</v>
      </c>
    </row>
    <row r="115" spans="1:8" ht="15.75" hidden="1" outlineLevel="1" thickBot="1" x14ac:dyDescent="0.3">
      <c r="A115" s="203" t="s">
        <v>121</v>
      </c>
      <c r="B115" s="510"/>
      <c r="C115" s="293">
        <f>IF(B105=0,0,(D105+E105)*2*B105*F105*IF(G105=0,1,G105))</f>
        <v>0</v>
      </c>
      <c r="D115" s="243"/>
      <c r="E115" s="243"/>
      <c r="F115" s="243"/>
      <c r="G115" s="244"/>
      <c r="H115" s="294">
        <f>IF(C105&gt;6,ROUND(SUM(C115:G115)*$B$17*1.2,0),SUM(C115:G115)*$B$17)</f>
        <v>0</v>
      </c>
    </row>
    <row r="116" spans="1:8" ht="15.75" collapsed="1" thickBot="1" x14ac:dyDescent="0.3">
      <c r="A116" s="203" t="s">
        <v>322</v>
      </c>
      <c r="B116" s="236">
        <f>SUMIFS(Simulador!D$85:D$116,Simulador!$A$85:$A$116,'Tabela de preços por Item'!$A116)</f>
        <v>0</v>
      </c>
      <c r="C116" s="236">
        <f>SUMIFS(Simulador!E$85:E$116,Simulador!$A$85:$A$116,'Tabela de preços por Item'!$A116)</f>
        <v>0</v>
      </c>
      <c r="D116" s="236">
        <f>SUMIFS(Simulador!F$85:F$116,Simulador!$A$85:$A$116,'Tabela de preços por Item'!$A116)</f>
        <v>0</v>
      </c>
      <c r="E116" s="236">
        <f>SUMIFS(Simulador!G$85:G$116,Simulador!$A$85:$A$116,'Tabela de preços por Item'!$A116)</f>
        <v>0</v>
      </c>
      <c r="F116" s="236">
        <f>SUMIFS(Simulador!H$85:H$116,Simulador!$A$85:$A$116,'Tabela de preços por Item'!$A116)</f>
        <v>0</v>
      </c>
      <c r="G116" s="236">
        <f>SUMIFS(Simulador!I$85:I$116,Simulador!$A$85:$A$116,'Tabela de preços por Item'!$A116)</f>
        <v>0</v>
      </c>
      <c r="H116" s="237" t="s">
        <v>355</v>
      </c>
    </row>
    <row r="117" spans="1:8" ht="15.75" hidden="1" outlineLevel="1" thickBot="1" x14ac:dyDescent="0.3">
      <c r="A117" s="203" t="s">
        <v>129</v>
      </c>
      <c r="B117" s="508"/>
      <c r="C117" s="288">
        <f>IF(B116=0,0,IF(H116="tubo",(C116+1.5)*2*(ROUND((D116/3)+(E116/3),0)*2)+1+ROUND(((C116/2)*SQRT(D116^2+E116^2)),0)*4,ROUND(((C116/2)*SQRT(D116^2+E116^2)),0)*4))</f>
        <v>0</v>
      </c>
      <c r="D117" s="288">
        <f>IF(B116=0,0,IF($H$17="tubo",D116*4*2,0))</f>
        <v>0</v>
      </c>
      <c r="E117" s="288">
        <f>IF(B116=0,0,IF($H$17="tubo",E116*4*2,0))</f>
        <v>0</v>
      </c>
      <c r="F117" s="238"/>
      <c r="G117" s="290">
        <f>IF(G116=0,0,((G116*E116)+(G116*D116))*2)</f>
        <v>0</v>
      </c>
      <c r="H117" s="294">
        <f>IF(C116&gt;6,ROUND(SUM(C117:G117)*$B$17*1.2,0),SUM(C117:G117)*$B$17)</f>
        <v>0</v>
      </c>
    </row>
    <row r="118" spans="1:8" ht="15.75" hidden="1" outlineLevel="1" thickBot="1" x14ac:dyDescent="0.3">
      <c r="A118" s="203" t="s">
        <v>115</v>
      </c>
      <c r="B118" s="509"/>
      <c r="C118" s="289">
        <f>IF(B116=0,0,IF(H116="tubo",C116*6+15,B116*4+C123*2))</f>
        <v>0</v>
      </c>
      <c r="D118" s="239"/>
      <c r="E118" s="239"/>
      <c r="F118" s="239"/>
      <c r="G118" s="240"/>
      <c r="H118" s="294">
        <f>IF(C116&gt;6,ROUND(SUM(C118:G118)*$B$17*1.2,0),SUM(C118:G118)*$B$17)</f>
        <v>0</v>
      </c>
    </row>
    <row r="119" spans="1:8" ht="15.75" hidden="1" outlineLevel="1" thickBot="1" x14ac:dyDescent="0.3">
      <c r="A119" s="203" t="s">
        <v>119</v>
      </c>
      <c r="B119" s="509"/>
      <c r="C119" s="289">
        <f>IF(B116=0,0,IF(H116="tubo",ROUNDUP(H117/2-1,0),0))</f>
        <v>0</v>
      </c>
      <c r="D119" s="239"/>
      <c r="E119" s="239"/>
      <c r="F119" s="239"/>
      <c r="G119" s="240"/>
      <c r="H119" s="294">
        <f>IF(C116&gt;6,ROUND(SUM(C119:G119)*$B$17*1.2,0),SUM(C119:G119)*$B$17)</f>
        <v>0</v>
      </c>
    </row>
    <row r="120" spans="1:8" ht="15.75" hidden="1" outlineLevel="1" thickBot="1" x14ac:dyDescent="0.3">
      <c r="A120" s="203" t="s">
        <v>114</v>
      </c>
      <c r="B120" s="509"/>
      <c r="C120" s="289">
        <f>IF(B116=0,0,IF(H116="Encaixe",(C116+1.5)*2*(ROUND((D116/3)+(E116/3),0)*2)+1,0))</f>
        <v>0</v>
      </c>
      <c r="D120" s="239"/>
      <c r="E120" s="239"/>
      <c r="F120" s="239"/>
      <c r="G120" s="240"/>
      <c r="H120" s="294">
        <f>IF(C116&gt;6,ROUND(SUM(C120:G120)*$B$17*1.2,0),SUM(C120:G120)*$B$17)</f>
        <v>0</v>
      </c>
    </row>
    <row r="121" spans="1:8" ht="15.75" hidden="1" outlineLevel="1" thickBot="1" x14ac:dyDescent="0.3">
      <c r="A121" s="203" t="s">
        <v>235</v>
      </c>
      <c r="B121" s="509"/>
      <c r="C121" s="239"/>
      <c r="D121" s="289">
        <f>IF(B116=0,0,IF($H$17="encaixe",D116*4*2+1,0))</f>
        <v>0</v>
      </c>
      <c r="E121" s="289">
        <f>IF(B116=0,0,IF($H$17="encaixe",E116*4*2+1,0))</f>
        <v>0</v>
      </c>
      <c r="F121" s="239"/>
      <c r="G121" s="240"/>
      <c r="H121" s="294">
        <f>IF(C116&gt;6,ROUND(SUM(C121:G121)*$B$17*1.2,0),SUM(C121:G121)*$B$17)</f>
        <v>0</v>
      </c>
    </row>
    <row r="122" spans="1:8" ht="15.75" hidden="1" outlineLevel="1" thickBot="1" x14ac:dyDescent="0.3">
      <c r="A122" s="203" t="s">
        <v>88</v>
      </c>
      <c r="B122" s="509"/>
      <c r="C122" s="289">
        <f>IF(B116=0,0,((ROUND((D116/3)+(E116/3),0)*4)))</f>
        <v>0</v>
      </c>
      <c r="D122" s="239"/>
      <c r="E122" s="239"/>
      <c r="F122" s="239"/>
      <c r="G122" s="240"/>
      <c r="H122" s="294">
        <f>IF(C116&gt;6,ROUND(SUM(C122:G122)*$B$17*1.2,0),SUM(C122:G122)*$B$17)</f>
        <v>0</v>
      </c>
    </row>
    <row r="123" spans="1:8" ht="15.75" hidden="1" outlineLevel="1" thickBot="1" x14ac:dyDescent="0.3">
      <c r="A123" s="203" t="s">
        <v>91</v>
      </c>
      <c r="B123" s="509"/>
      <c r="C123" s="291">
        <f>IF(B116=0,0,ROUNDUP(C116/2,0))</f>
        <v>0</v>
      </c>
      <c r="D123" s="241"/>
      <c r="E123" s="241"/>
      <c r="F123" s="241"/>
      <c r="G123" s="242"/>
      <c r="H123" s="294">
        <f>IF(C116&gt;6,ROUND(SUM(C123:G123)*$B$17*1.2,0),SUM(C123:G123)*$B$17)</f>
        <v>0</v>
      </c>
    </row>
    <row r="124" spans="1:8" ht="15.75" hidden="1" outlineLevel="1" thickBot="1" x14ac:dyDescent="0.3">
      <c r="A124" s="203" t="s">
        <v>118</v>
      </c>
      <c r="B124" s="509"/>
      <c r="C124" s="292">
        <f>IF(B116=0,0,IF(C116&lt;=2,0,(C116-2)/0.5))</f>
        <v>0</v>
      </c>
      <c r="D124" s="241"/>
      <c r="E124" s="241"/>
      <c r="F124" s="241"/>
      <c r="G124" s="242"/>
      <c r="H124" s="294">
        <f>IF(C116&gt;6,ROUND(SUM(C124:G124)*$B$17*1.2,0),SUM(C124:G124)*$B$17)</f>
        <v>0</v>
      </c>
    </row>
    <row r="125" spans="1:8" ht="15.75" hidden="1" outlineLevel="1" thickBot="1" x14ac:dyDescent="0.3">
      <c r="A125" s="203" t="s">
        <v>120</v>
      </c>
      <c r="B125" s="509"/>
      <c r="C125" s="291">
        <f>(ROUND((D116*E116)/0.3-1,0)*(F116+1)+ROUND((D116*E116)/0.3-1,0)*(G116))*B116</f>
        <v>0</v>
      </c>
      <c r="D125" s="241"/>
      <c r="E125" s="241"/>
      <c r="F125" s="241"/>
      <c r="G125" s="242"/>
      <c r="H125" s="294">
        <f>IF(C116&gt;6,ROUND(SUM(C125:G125)*$B$17*1.2,0),SUM(C125:G125)*$B$17)</f>
        <v>0</v>
      </c>
    </row>
    <row r="126" spans="1:8" ht="15.75" hidden="1" outlineLevel="1" thickBot="1" x14ac:dyDescent="0.3">
      <c r="A126" s="203" t="s">
        <v>121</v>
      </c>
      <c r="B126" s="510"/>
      <c r="C126" s="293">
        <f>IF(B116=0,0,(D116+E116)*2*B116*F116*IF(G116=0,1,G116))</f>
        <v>0</v>
      </c>
      <c r="D126" s="243"/>
      <c r="E126" s="243"/>
      <c r="F126" s="243"/>
      <c r="G126" s="244"/>
      <c r="H126" s="294">
        <f>IF(C116&gt;6,ROUND(SUM(C126:G126)*$B$17*1.2,0),SUM(C126:G126)*$B$17)</f>
        <v>0</v>
      </c>
    </row>
    <row r="127" spans="1:8" ht="15.75" collapsed="1" thickBot="1" x14ac:dyDescent="0.3">
      <c r="A127" s="203" t="s">
        <v>357</v>
      </c>
      <c r="B127" s="236">
        <f>SUMIFS(Simulador!D$85:D$116,Simulador!$A$85:$A$116,'Tabela de preços por Item'!$A127)</f>
        <v>0</v>
      </c>
      <c r="C127" s="236">
        <f>SUMIFS(Simulador!E$85:E$116,Simulador!$A$85:$A$116,'Tabela de preços por Item'!$A127)</f>
        <v>0</v>
      </c>
      <c r="D127" s="236">
        <f>SUMIFS(Simulador!F$85:F$116,Simulador!$A$85:$A$116,'Tabela de preços por Item'!$A127)</f>
        <v>0</v>
      </c>
      <c r="E127" s="236">
        <f>SUMIFS(Simulador!G$85:G$116,Simulador!$A$85:$A$116,'Tabela de preços por Item'!$A127)</f>
        <v>0</v>
      </c>
      <c r="F127" s="236">
        <f>SUMIFS(Simulador!H$85:H$116,Simulador!$A$85:$A$116,'Tabela de preços por Item'!$A127)</f>
        <v>0</v>
      </c>
      <c r="G127" s="236">
        <f>SUMIFS(Simulador!I$85:I$116,Simulador!$A$85:$A$116,'Tabela de preços por Item'!$A127)</f>
        <v>0</v>
      </c>
      <c r="H127" s="237" t="s">
        <v>355</v>
      </c>
    </row>
    <row r="128" spans="1:8" ht="15.75" hidden="1" outlineLevel="1" thickBot="1" x14ac:dyDescent="0.3">
      <c r="A128" s="203" t="s">
        <v>129</v>
      </c>
      <c r="B128" s="508"/>
      <c r="C128" s="288">
        <f>IF(B127=0,0,IF(H127="tubo",(C127+1.5)*2*(ROUND((D127/3)+(E127/3),0)*2)+1+ROUND(((C127/2)*SQRT(D127^2+E127^2)),0)*4,ROUND(((C127/2)*SQRT(D127^2+E127^2)),0)*4))</f>
        <v>0</v>
      </c>
      <c r="D128" s="288">
        <f>IF(B127=0,0,IF($H$17="tubo",D127*4*2,0))</f>
        <v>0</v>
      </c>
      <c r="E128" s="288">
        <f>IF(B127=0,0,IF($H$17="tubo",E127*4*2,0))</f>
        <v>0</v>
      </c>
      <c r="F128" s="238"/>
      <c r="G128" s="290">
        <f>IF(G127=0,0,((G127*E127)+(G127*D127))*2)</f>
        <v>0</v>
      </c>
      <c r="H128" s="294">
        <f>IF(C127&gt;6,ROUND(SUM(C128:G128)*$B$17*1.2,0),SUM(C128:G128)*$B$17)</f>
        <v>0</v>
      </c>
    </row>
    <row r="129" spans="1:8" ht="15.75" hidden="1" outlineLevel="1" thickBot="1" x14ac:dyDescent="0.3">
      <c r="A129" s="203" t="s">
        <v>115</v>
      </c>
      <c r="B129" s="509"/>
      <c r="C129" s="289">
        <f>IF(B127=0,0,IF(H127="tubo",C127*6+15,B127*4+C134*2))</f>
        <v>0</v>
      </c>
      <c r="D129" s="239"/>
      <c r="E129" s="239"/>
      <c r="F129" s="239"/>
      <c r="G129" s="240"/>
      <c r="H129" s="294">
        <f>IF(C127&gt;6,ROUND(SUM(C129:G129)*$B$17*1.2,0),SUM(C129:G129)*$B$17)</f>
        <v>0</v>
      </c>
    </row>
    <row r="130" spans="1:8" ht="15.75" hidden="1" outlineLevel="1" thickBot="1" x14ac:dyDescent="0.3">
      <c r="A130" s="203" t="s">
        <v>119</v>
      </c>
      <c r="B130" s="509"/>
      <c r="C130" s="289">
        <f>IF(B127=0,0,IF(H127="tubo",ROUNDUP(H128/2-1,0),0))</f>
        <v>0</v>
      </c>
      <c r="D130" s="239"/>
      <c r="E130" s="239"/>
      <c r="F130" s="239"/>
      <c r="G130" s="240"/>
      <c r="H130" s="294">
        <f>IF(C127&gt;6,ROUND(SUM(C130:G130)*$B$17*1.2,0),SUM(C130:G130)*$B$17)</f>
        <v>0</v>
      </c>
    </row>
    <row r="131" spans="1:8" ht="15.75" hidden="1" outlineLevel="1" thickBot="1" x14ac:dyDescent="0.3">
      <c r="A131" s="203" t="s">
        <v>114</v>
      </c>
      <c r="B131" s="509"/>
      <c r="C131" s="289">
        <f>IF(B127=0,0,IF(H127="Encaixe",(C127+1.5)*2*(ROUND((D127/3)+(E127/3),0)*2)+1,0))</f>
        <v>0</v>
      </c>
      <c r="D131" s="239"/>
      <c r="E131" s="239"/>
      <c r="F131" s="239"/>
      <c r="G131" s="240"/>
      <c r="H131" s="294">
        <f>IF(C127&gt;6,ROUND(SUM(C131:G131)*$B$17*1.2,0),SUM(C131:G131)*$B$17)</f>
        <v>0</v>
      </c>
    </row>
    <row r="132" spans="1:8" ht="15.75" hidden="1" outlineLevel="1" thickBot="1" x14ac:dyDescent="0.3">
      <c r="A132" s="203" t="s">
        <v>235</v>
      </c>
      <c r="B132" s="509"/>
      <c r="C132" s="239"/>
      <c r="D132" s="289">
        <f>IF(B127=0,0,IF($H$17="encaixe",D127*4*2+1,0))</f>
        <v>0</v>
      </c>
      <c r="E132" s="289">
        <f>IF(B127=0,0,IF($H$17="encaixe",E127*4*2+1,0))</f>
        <v>0</v>
      </c>
      <c r="F132" s="239"/>
      <c r="G132" s="240"/>
      <c r="H132" s="294">
        <f>IF(C127&gt;6,ROUND(SUM(C132:G132)*$B$17*1.2,0),SUM(C132:G132)*$B$17)</f>
        <v>0</v>
      </c>
    </row>
    <row r="133" spans="1:8" ht="15.75" hidden="1" outlineLevel="1" thickBot="1" x14ac:dyDescent="0.3">
      <c r="A133" s="203" t="s">
        <v>88</v>
      </c>
      <c r="B133" s="509"/>
      <c r="C133" s="289">
        <f>IF(B127=0,0,((ROUND((D127/3)+(E127/3),0)*4)))</f>
        <v>0</v>
      </c>
      <c r="D133" s="239"/>
      <c r="E133" s="239"/>
      <c r="F133" s="239"/>
      <c r="G133" s="240"/>
      <c r="H133" s="294">
        <f>IF(C127&gt;6,ROUND(SUM(C133:G133)*$B$17*1.2,0),SUM(C133:G133)*$B$17)</f>
        <v>0</v>
      </c>
    </row>
    <row r="134" spans="1:8" ht="15.75" hidden="1" outlineLevel="1" thickBot="1" x14ac:dyDescent="0.3">
      <c r="A134" s="203" t="s">
        <v>91</v>
      </c>
      <c r="B134" s="509"/>
      <c r="C134" s="291">
        <f>IF(B127=0,0,ROUNDUP(C127/2,0))</f>
        <v>0</v>
      </c>
      <c r="D134" s="241"/>
      <c r="E134" s="241"/>
      <c r="F134" s="241"/>
      <c r="G134" s="242"/>
      <c r="H134" s="294">
        <f>IF(C127&gt;6,ROUND(SUM(C134:G134)*$B$17*1.2,0),SUM(C134:G134)*$B$17)</f>
        <v>0</v>
      </c>
    </row>
    <row r="135" spans="1:8" ht="15.75" hidden="1" outlineLevel="1" thickBot="1" x14ac:dyDescent="0.3">
      <c r="A135" s="203" t="s">
        <v>118</v>
      </c>
      <c r="B135" s="509"/>
      <c r="C135" s="292">
        <f>IF(B127=0,0,IF(C127&lt;=2,0,(C127-2)/0.5))</f>
        <v>0</v>
      </c>
      <c r="D135" s="241"/>
      <c r="E135" s="241"/>
      <c r="F135" s="241"/>
      <c r="G135" s="242"/>
      <c r="H135" s="294">
        <f>IF(C127&gt;6,ROUND(SUM(C135:G135)*$B$17*1.2,0),SUM(C135:G135)*$B$17)</f>
        <v>0</v>
      </c>
    </row>
    <row r="136" spans="1:8" ht="15.75" hidden="1" outlineLevel="1" thickBot="1" x14ac:dyDescent="0.3">
      <c r="A136" s="203" t="s">
        <v>120</v>
      </c>
      <c r="B136" s="509"/>
      <c r="C136" s="291">
        <f>(ROUND((D127*E127)/0.3-1,0)*(F127+1)+ROUND((D127*E127)/0.3-1,0)*(G127))*B127</f>
        <v>0</v>
      </c>
      <c r="D136" s="241"/>
      <c r="E136" s="241"/>
      <c r="F136" s="241"/>
      <c r="G136" s="242"/>
      <c r="H136" s="294">
        <f>IF(C127&gt;6,ROUND(SUM(C136:G136)*$B$17*1.2,0),SUM(C136:G136)*$B$17)</f>
        <v>0</v>
      </c>
    </row>
    <row r="137" spans="1:8" ht="15.75" hidden="1" outlineLevel="1" thickBot="1" x14ac:dyDescent="0.3">
      <c r="A137" s="203" t="s">
        <v>121</v>
      </c>
      <c r="B137" s="510"/>
      <c r="C137" s="293">
        <f>IF(B127=0,0,(D127+E127)*2*B127*F127*IF(G127=0,1,G127))</f>
        <v>0</v>
      </c>
      <c r="D137" s="243"/>
      <c r="E137" s="243"/>
      <c r="F137" s="243"/>
      <c r="G137" s="244"/>
      <c r="H137" s="294">
        <f>IF(C127&gt;6,ROUND(SUM(C137:G137)*$B$17*1.2,0),SUM(C137:G137)*$B$17)</f>
        <v>0</v>
      </c>
    </row>
    <row r="138" spans="1:8" ht="15.75" collapsed="1" thickBot="1" x14ac:dyDescent="0.3">
      <c r="A138" s="203" t="s">
        <v>358</v>
      </c>
      <c r="B138" s="236">
        <f>SUMIFS(Simulador!D$85:D$116,Simulador!$A$85:$A$116,'Tabela de preços por Item'!$A138)</f>
        <v>0</v>
      </c>
      <c r="C138" s="236">
        <f>SUMIFS(Simulador!E$85:E$116,Simulador!$A$85:$A$116,'Tabela de preços por Item'!$A138)</f>
        <v>0</v>
      </c>
      <c r="D138" s="236">
        <f>SUMIFS(Simulador!F$85:F$116,Simulador!$A$85:$A$116,'Tabela de preços por Item'!$A138)</f>
        <v>0</v>
      </c>
      <c r="E138" s="236">
        <f>SUMIFS(Simulador!G$85:G$116,Simulador!$A$85:$A$116,'Tabela de preços por Item'!$A138)</f>
        <v>0</v>
      </c>
      <c r="F138" s="236">
        <f>SUMIFS(Simulador!H$85:H$116,Simulador!$A$85:$A$116,'Tabela de preços por Item'!$A138)</f>
        <v>0</v>
      </c>
      <c r="G138" s="236">
        <f>SUMIFS(Simulador!I$85:I$116,Simulador!$A$85:$A$116,'Tabela de preços por Item'!$A138)</f>
        <v>0</v>
      </c>
      <c r="H138" s="237" t="s">
        <v>355</v>
      </c>
    </row>
    <row r="139" spans="1:8" ht="15.75" hidden="1" outlineLevel="1" thickBot="1" x14ac:dyDescent="0.3">
      <c r="A139" s="203" t="s">
        <v>129</v>
      </c>
      <c r="B139" s="508"/>
      <c r="C139" s="288">
        <f>IF(B138=0,0,IF(H138="tubo",(C138+1.5)*2*(ROUND((D138/3)+(E138/3),0)*2)+1+ROUND(((C138/2)*SQRT(D138^2+E138^2)),0)*4,ROUND(((C138/2)*SQRT(D138^2+E138^2)),0)*4))</f>
        <v>0</v>
      </c>
      <c r="D139" s="288">
        <f>IF(B138=0,0,IF($H$17="tubo",D138*4*2,0))</f>
        <v>0</v>
      </c>
      <c r="E139" s="288">
        <f>IF(B138=0,0,IF($H$17="tubo",E138*4*2,0))</f>
        <v>0</v>
      </c>
      <c r="F139" s="238"/>
      <c r="G139" s="290">
        <f>IF(G138=0,0,((G138*E138)+(G138*D138))*2)</f>
        <v>0</v>
      </c>
      <c r="H139" s="294">
        <f>IF(C138&gt;6,ROUND(SUM(C139:G139)*$B$17*1.2,0),SUM(C139:G139)*$B$17)</f>
        <v>0</v>
      </c>
    </row>
    <row r="140" spans="1:8" ht="15.75" hidden="1" outlineLevel="1" thickBot="1" x14ac:dyDescent="0.3">
      <c r="A140" s="203" t="s">
        <v>115</v>
      </c>
      <c r="B140" s="509"/>
      <c r="C140" s="289">
        <f>IF(B138=0,0,IF(H138="tubo",C138*6+15,B138*4+C145*2))</f>
        <v>0</v>
      </c>
      <c r="D140" s="239"/>
      <c r="E140" s="239"/>
      <c r="F140" s="239"/>
      <c r="G140" s="240"/>
      <c r="H140" s="294">
        <f>IF(C138&gt;6,ROUND(SUM(C140:G140)*$B$17*1.2,0),SUM(C140:G140)*$B$17)</f>
        <v>0</v>
      </c>
    </row>
    <row r="141" spans="1:8" ht="15.75" hidden="1" outlineLevel="1" thickBot="1" x14ac:dyDescent="0.3">
      <c r="A141" s="203" t="s">
        <v>119</v>
      </c>
      <c r="B141" s="509"/>
      <c r="C141" s="289">
        <f>IF(B138=0,0,IF(H138="tubo",ROUNDUP(H139/2-1,0),0))</f>
        <v>0</v>
      </c>
      <c r="D141" s="239"/>
      <c r="E141" s="239"/>
      <c r="F141" s="239"/>
      <c r="G141" s="240"/>
      <c r="H141" s="294">
        <f>IF(C138&gt;6,ROUND(SUM(C141:G141)*$B$17*1.2,0),SUM(C141:G141)*$B$17)</f>
        <v>0</v>
      </c>
    </row>
    <row r="142" spans="1:8" ht="15.75" hidden="1" outlineLevel="1" thickBot="1" x14ac:dyDescent="0.3">
      <c r="A142" s="203" t="s">
        <v>114</v>
      </c>
      <c r="B142" s="509"/>
      <c r="C142" s="289">
        <f>IF(B138=0,0,IF(H138="Encaixe",(C138+1.5)*2*(ROUND((D138/3)+(E138/3),0)*2)+1,0))</f>
        <v>0</v>
      </c>
      <c r="D142" s="239"/>
      <c r="E142" s="239"/>
      <c r="F142" s="239"/>
      <c r="G142" s="240"/>
      <c r="H142" s="294">
        <f>IF(C138&gt;6,ROUND(SUM(C142:G142)*$B$17*1.2,0),SUM(C142:G142)*$B$17)</f>
        <v>0</v>
      </c>
    </row>
    <row r="143" spans="1:8" ht="15.75" hidden="1" outlineLevel="1" thickBot="1" x14ac:dyDescent="0.3">
      <c r="A143" s="203" t="s">
        <v>235</v>
      </c>
      <c r="B143" s="509"/>
      <c r="C143" s="239"/>
      <c r="D143" s="289">
        <f>IF(B138=0,0,IF($H$17="encaixe",D138*4*2+1,0))</f>
        <v>0</v>
      </c>
      <c r="E143" s="289">
        <f>IF(B138=0,0,IF($H$17="encaixe",E138*4*2+1,0))</f>
        <v>0</v>
      </c>
      <c r="F143" s="239"/>
      <c r="G143" s="240"/>
      <c r="H143" s="294">
        <f>IF(C138&gt;6,ROUND(SUM(C143:G143)*$B$17*1.2,0),SUM(C143:G143)*$B$17)</f>
        <v>0</v>
      </c>
    </row>
    <row r="144" spans="1:8" ht="15.75" hidden="1" outlineLevel="1" thickBot="1" x14ac:dyDescent="0.3">
      <c r="A144" s="203" t="s">
        <v>88</v>
      </c>
      <c r="B144" s="509"/>
      <c r="C144" s="289">
        <f>IF(B138=0,0,((ROUND((D138/3)+(E138/3),0)*4)))</f>
        <v>0</v>
      </c>
      <c r="D144" s="239"/>
      <c r="E144" s="239"/>
      <c r="F144" s="239"/>
      <c r="G144" s="240"/>
      <c r="H144" s="294">
        <f>IF(C138&gt;6,ROUND(SUM(C144:G144)*$B$17*1.2,0),SUM(C144:G144)*$B$17)</f>
        <v>0</v>
      </c>
    </row>
    <row r="145" spans="1:8" ht="15.75" hidden="1" outlineLevel="1" thickBot="1" x14ac:dyDescent="0.3">
      <c r="A145" s="203" t="s">
        <v>91</v>
      </c>
      <c r="B145" s="509"/>
      <c r="C145" s="291">
        <f>IF(B138=0,0,ROUNDUP(C138/2,0))</f>
        <v>0</v>
      </c>
      <c r="D145" s="241"/>
      <c r="E145" s="241"/>
      <c r="F145" s="241"/>
      <c r="G145" s="242"/>
      <c r="H145" s="294">
        <f>IF(C138&gt;6,ROUND(SUM(C145:G145)*$B$17*1.2,0),SUM(C145:G145)*$B$17)</f>
        <v>0</v>
      </c>
    </row>
    <row r="146" spans="1:8" ht="15.75" hidden="1" outlineLevel="1" thickBot="1" x14ac:dyDescent="0.3">
      <c r="A146" s="203" t="s">
        <v>118</v>
      </c>
      <c r="B146" s="509"/>
      <c r="C146" s="292">
        <f>IF(B138=0,0,IF(C138&lt;=2,0,(C138-2)/0.5))</f>
        <v>0</v>
      </c>
      <c r="D146" s="241"/>
      <c r="E146" s="241"/>
      <c r="F146" s="241"/>
      <c r="G146" s="242"/>
      <c r="H146" s="294">
        <f>IF(C138&gt;6,ROUND(SUM(C146:G146)*$B$17*1.2,0),SUM(C146:G146)*$B$17)</f>
        <v>0</v>
      </c>
    </row>
    <row r="147" spans="1:8" ht="15.75" hidden="1" outlineLevel="1" thickBot="1" x14ac:dyDescent="0.3">
      <c r="A147" s="203" t="s">
        <v>120</v>
      </c>
      <c r="B147" s="509"/>
      <c r="C147" s="291">
        <f>(ROUND((D138*E138)/0.3-1,0)*(F138+1)+ROUND((D138*E138)/0.3-1,0)*(G138))*B138</f>
        <v>0</v>
      </c>
      <c r="D147" s="241"/>
      <c r="E147" s="241"/>
      <c r="F147" s="241"/>
      <c r="G147" s="242"/>
      <c r="H147" s="294">
        <f>IF(C138&gt;6,ROUND(SUM(C147:G147)*$B$17*1.2,0),SUM(C147:G147)*$B$17)</f>
        <v>0</v>
      </c>
    </row>
    <row r="148" spans="1:8" ht="15.75" hidden="1" outlineLevel="1" thickBot="1" x14ac:dyDescent="0.3">
      <c r="A148" s="203" t="s">
        <v>121</v>
      </c>
      <c r="B148" s="510"/>
      <c r="C148" s="293">
        <f>IF(B138=0,0,(D138+E138)*2*B138*F138*IF(G138=0,1,G138))</f>
        <v>0</v>
      </c>
      <c r="D148" s="243"/>
      <c r="E148" s="243"/>
      <c r="F148" s="243"/>
      <c r="G148" s="244"/>
      <c r="H148" s="294">
        <f>IF(C138&gt;6,ROUND(SUM(C148:G148)*$B$17*1.2,0),SUM(C148:G148)*$B$17)</f>
        <v>0</v>
      </c>
    </row>
    <row r="149" spans="1:8" ht="15.75" collapsed="1" thickBot="1" x14ac:dyDescent="0.3">
      <c r="A149" s="203" t="s">
        <v>359</v>
      </c>
      <c r="B149" s="236">
        <f>SUMIFS(Simulador!D$85:D$116,Simulador!$A$85:$A$116,'Tabela de preços por Item'!$A149)</f>
        <v>0</v>
      </c>
      <c r="C149" s="236">
        <f>SUMIFS(Simulador!E$85:E$116,Simulador!$A$85:$A$116,'Tabela de preços por Item'!$A149)</f>
        <v>0</v>
      </c>
      <c r="D149" s="236">
        <f>SUMIFS(Simulador!F$85:F$116,Simulador!$A$85:$A$116,'Tabela de preços por Item'!$A149)</f>
        <v>0</v>
      </c>
      <c r="E149" s="236">
        <f>SUMIFS(Simulador!G$85:G$116,Simulador!$A$85:$A$116,'Tabela de preços por Item'!$A149)</f>
        <v>0</v>
      </c>
      <c r="F149" s="236">
        <f>SUMIFS(Simulador!H$85:H$116,Simulador!$A$85:$A$116,'Tabela de preços por Item'!$A149)</f>
        <v>0</v>
      </c>
      <c r="G149" s="236">
        <f>SUMIFS(Simulador!I$85:I$116,Simulador!$A$85:$A$116,'Tabela de preços por Item'!$A149)</f>
        <v>0</v>
      </c>
      <c r="H149" s="237" t="s">
        <v>355</v>
      </c>
    </row>
    <row r="150" spans="1:8" ht="15.75" hidden="1" outlineLevel="1" thickBot="1" x14ac:dyDescent="0.3">
      <c r="A150" s="203" t="s">
        <v>129</v>
      </c>
      <c r="B150" s="508"/>
      <c r="C150" s="288">
        <f>IF(B149=0,0,IF(H149="tubo",(C149+1.5)*2*(ROUND((D149/3)+(E149/3),0)*2)+1+ROUND(((C149/2)*SQRT(D149^2+E149^2)),0)*4,ROUND(((C149/2)*SQRT(D149^2+E149^2)),0)*4))</f>
        <v>0</v>
      </c>
      <c r="D150" s="288">
        <f>IF(B149=0,0,IF($H$17="tubo",D149*4*2,0))</f>
        <v>0</v>
      </c>
      <c r="E150" s="288">
        <f>IF(B149=0,0,IF($H$17="tubo",E149*4*2,0))</f>
        <v>0</v>
      </c>
      <c r="F150" s="238"/>
      <c r="G150" s="290">
        <f>IF(G149=0,0,((G149*E149)+(G149*D149))*2)</f>
        <v>0</v>
      </c>
      <c r="H150" s="294">
        <f>IF(C149&gt;6,ROUND(SUM(C150:G150)*$B$17*1.2,0),SUM(C150:G150)*$B$17)</f>
        <v>0</v>
      </c>
    </row>
    <row r="151" spans="1:8" ht="15.75" hidden="1" outlineLevel="1" thickBot="1" x14ac:dyDescent="0.3">
      <c r="A151" s="203" t="s">
        <v>115</v>
      </c>
      <c r="B151" s="509"/>
      <c r="C151" s="289">
        <f>IF(B149=0,0,IF(H149="tubo",C149*6+15,B149*4+C156*2))</f>
        <v>0</v>
      </c>
      <c r="D151" s="239"/>
      <c r="E151" s="239"/>
      <c r="F151" s="239"/>
      <c r="G151" s="240"/>
      <c r="H151" s="294">
        <f>IF(C149&gt;6,ROUND(SUM(C151:G151)*$B$17*1.2,0),SUM(C151:G151)*$B$17)</f>
        <v>0</v>
      </c>
    </row>
    <row r="152" spans="1:8" ht="15.75" hidden="1" outlineLevel="1" thickBot="1" x14ac:dyDescent="0.3">
      <c r="A152" s="203" t="s">
        <v>119</v>
      </c>
      <c r="B152" s="509"/>
      <c r="C152" s="289">
        <f>IF(B149=0,0,IF(H149="tubo",ROUNDUP(H150/2-1,0),0))</f>
        <v>0</v>
      </c>
      <c r="D152" s="239"/>
      <c r="E152" s="239"/>
      <c r="F152" s="239"/>
      <c r="G152" s="240"/>
      <c r="H152" s="294">
        <f>IF(C149&gt;6,ROUND(SUM(C152:G152)*$B$17*1.2,0),SUM(C152:G152)*$B$17)</f>
        <v>0</v>
      </c>
    </row>
    <row r="153" spans="1:8" ht="15.75" hidden="1" outlineLevel="1" thickBot="1" x14ac:dyDescent="0.3">
      <c r="A153" s="203" t="s">
        <v>114</v>
      </c>
      <c r="B153" s="509"/>
      <c r="C153" s="289">
        <f>IF(B149=0,0,IF(H149="Encaixe",(C149+1.5)*2*(ROUND((D149/3)+(E149/3),0)*2)+1,0))</f>
        <v>0</v>
      </c>
      <c r="D153" s="239"/>
      <c r="E153" s="239"/>
      <c r="F153" s="239"/>
      <c r="G153" s="240"/>
      <c r="H153" s="294">
        <f>IF(C149&gt;6,ROUND(SUM(C153:G153)*$B$17*1.2,0),SUM(C153:G153)*$B$17)</f>
        <v>0</v>
      </c>
    </row>
    <row r="154" spans="1:8" ht="15.75" hidden="1" outlineLevel="1" thickBot="1" x14ac:dyDescent="0.3">
      <c r="A154" s="203" t="s">
        <v>235</v>
      </c>
      <c r="B154" s="509"/>
      <c r="C154" s="239"/>
      <c r="D154" s="289">
        <f>IF(B149=0,0,IF($H$17="encaixe",D149*4*2+1,0))</f>
        <v>0</v>
      </c>
      <c r="E154" s="289">
        <f>IF(B149=0,0,IF($H$17="encaixe",E149*4*2+1,0))</f>
        <v>0</v>
      </c>
      <c r="F154" s="239"/>
      <c r="G154" s="240"/>
      <c r="H154" s="294">
        <f>IF(C149&gt;6,ROUND(SUM(C154:G154)*$B$17*1.2,0),SUM(C154:G154)*$B$17)</f>
        <v>0</v>
      </c>
    </row>
    <row r="155" spans="1:8" ht="15.75" hidden="1" outlineLevel="1" thickBot="1" x14ac:dyDescent="0.3">
      <c r="A155" s="203" t="s">
        <v>88</v>
      </c>
      <c r="B155" s="509"/>
      <c r="C155" s="289">
        <f>IF(B149=0,0,((ROUND((D149/3)+(E149/3),0)*4)))</f>
        <v>0</v>
      </c>
      <c r="D155" s="239"/>
      <c r="E155" s="239"/>
      <c r="F155" s="239"/>
      <c r="G155" s="240"/>
      <c r="H155" s="294">
        <f>IF(C149&gt;6,ROUND(SUM(C155:G155)*$B$17*1.2,0),SUM(C155:G155)*$B$17)</f>
        <v>0</v>
      </c>
    </row>
    <row r="156" spans="1:8" ht="15.75" hidden="1" outlineLevel="1" thickBot="1" x14ac:dyDescent="0.3">
      <c r="A156" s="203" t="s">
        <v>91</v>
      </c>
      <c r="B156" s="509"/>
      <c r="C156" s="291">
        <f>IF(B149=0,0,ROUNDUP(C149/2,0))</f>
        <v>0</v>
      </c>
      <c r="D156" s="241"/>
      <c r="E156" s="241"/>
      <c r="F156" s="241"/>
      <c r="G156" s="242"/>
      <c r="H156" s="294">
        <f>IF(C149&gt;6,ROUND(SUM(C156:G156)*$B$17*1.2,0),SUM(C156:G156)*$B$17)</f>
        <v>0</v>
      </c>
    </row>
    <row r="157" spans="1:8" ht="15.75" hidden="1" outlineLevel="1" thickBot="1" x14ac:dyDescent="0.3">
      <c r="A157" s="203" t="s">
        <v>118</v>
      </c>
      <c r="B157" s="509"/>
      <c r="C157" s="292">
        <f>IF(B149=0,0,IF(C149&lt;=2,0,(C149-2)/0.5))</f>
        <v>0</v>
      </c>
      <c r="D157" s="241"/>
      <c r="E157" s="241"/>
      <c r="F157" s="241"/>
      <c r="G157" s="242"/>
      <c r="H157" s="294">
        <f>IF(C149&gt;6,ROUND(SUM(C157:G157)*$B$17*1.2,0),SUM(C157:G157)*$B$17)</f>
        <v>0</v>
      </c>
    </row>
    <row r="158" spans="1:8" ht="15.75" hidden="1" outlineLevel="1" thickBot="1" x14ac:dyDescent="0.3">
      <c r="A158" s="203" t="s">
        <v>120</v>
      </c>
      <c r="B158" s="509"/>
      <c r="C158" s="291">
        <f>(ROUND((D149*E149)/0.3-1,0)*(F149+1)+ROUND((D149*E149)/0.3-1,0)*(G149))*B149</f>
        <v>0</v>
      </c>
      <c r="D158" s="241"/>
      <c r="E158" s="241"/>
      <c r="F158" s="241"/>
      <c r="G158" s="242"/>
      <c r="H158" s="294">
        <f>IF(C149&gt;6,ROUND(SUM(C158:G158)*$B$17*1.2,0),SUM(C158:G158)*$B$17)</f>
        <v>0</v>
      </c>
    </row>
    <row r="159" spans="1:8" ht="15.75" hidden="1" outlineLevel="1" thickBot="1" x14ac:dyDescent="0.3">
      <c r="A159" s="203" t="s">
        <v>121</v>
      </c>
      <c r="B159" s="510"/>
      <c r="C159" s="293">
        <f>IF(B149=0,0,(D149+E149)*2*B149*F149*IF(G149=0,1,G149))</f>
        <v>0</v>
      </c>
      <c r="D159" s="243"/>
      <c r="E159" s="243"/>
      <c r="F159" s="243"/>
      <c r="G159" s="244"/>
      <c r="H159" s="294">
        <f>IF(C149&gt;6,ROUND(SUM(C159:G159)*$B$17*1.2,0),SUM(C159:G159)*$B$17)</f>
        <v>0</v>
      </c>
    </row>
    <row r="160" spans="1:8" ht="15.75" collapsed="1" thickBot="1" x14ac:dyDescent="0.3">
      <c r="A160" s="203" t="s">
        <v>360</v>
      </c>
      <c r="B160" s="236">
        <f>SUMIFS(Simulador!D$85:D$116,Simulador!$A$85:$A$116,'Tabela de preços por Item'!$A160)</f>
        <v>0</v>
      </c>
      <c r="C160" s="236">
        <f>SUMIFS(Simulador!E$85:E$116,Simulador!$A$85:$A$116,'Tabela de preços por Item'!$A160)</f>
        <v>0</v>
      </c>
      <c r="D160" s="236">
        <f>SUMIFS(Simulador!F$85:F$116,Simulador!$A$85:$A$116,'Tabela de preços por Item'!$A160)</f>
        <v>0</v>
      </c>
      <c r="E160" s="236">
        <f>SUMIFS(Simulador!G$85:G$116,Simulador!$A$85:$A$116,'Tabela de preços por Item'!$A160)</f>
        <v>0</v>
      </c>
      <c r="F160" s="236">
        <f>SUMIFS(Simulador!H$85:H$116,Simulador!$A$85:$A$116,'Tabela de preços por Item'!$A160)</f>
        <v>0</v>
      </c>
      <c r="G160" s="236">
        <f>SUMIFS(Simulador!I$85:I$116,Simulador!$A$85:$A$116,'Tabela de preços por Item'!$A160)</f>
        <v>0</v>
      </c>
      <c r="H160" s="237" t="s">
        <v>355</v>
      </c>
    </row>
    <row r="161" spans="1:8" ht="15.75" hidden="1" outlineLevel="1" thickBot="1" x14ac:dyDescent="0.3">
      <c r="A161" s="203" t="s">
        <v>129</v>
      </c>
      <c r="B161" s="508"/>
      <c r="C161" s="288">
        <f>IF(B160=0,0,IF(H160="tubo",(C160+1.5)*2*(ROUND((D160/3)+(E160/3),0)*2)+1+ROUND(((C160/2)*SQRT(D160^2+E160^2)),0)*4,ROUND(((C160/2)*SQRT(D160^2+E160^2)),0)*4))</f>
        <v>0</v>
      </c>
      <c r="D161" s="288">
        <f>IF(B160=0,0,IF($H$17="tubo",D160*4*2,0))</f>
        <v>0</v>
      </c>
      <c r="E161" s="288">
        <f>IF(B160=0,0,IF($H$17="tubo",E160*4*2,0))</f>
        <v>0</v>
      </c>
      <c r="F161" s="238"/>
      <c r="G161" s="290">
        <f>IF(G160=0,0,((G160*E160)+(G160*D160))*2)</f>
        <v>0</v>
      </c>
      <c r="H161" s="294">
        <f>IF(C160&gt;6,ROUND(SUM(C161:G161)*$B$17*1.2,0),SUM(C161:G161)*$B$17)</f>
        <v>0</v>
      </c>
    </row>
    <row r="162" spans="1:8" ht="15.75" hidden="1" outlineLevel="1" thickBot="1" x14ac:dyDescent="0.3">
      <c r="A162" s="203" t="s">
        <v>115</v>
      </c>
      <c r="B162" s="509"/>
      <c r="C162" s="289">
        <f>IF(B160=0,0,IF(H160="tubo",C160*6+15,B160*4+C167*2))</f>
        <v>0</v>
      </c>
      <c r="D162" s="239"/>
      <c r="E162" s="239"/>
      <c r="F162" s="239"/>
      <c r="G162" s="240"/>
      <c r="H162" s="294">
        <f>IF(C160&gt;6,ROUND(SUM(C162:G162)*$B$17*1.2,0),SUM(C162:G162)*$B$17)</f>
        <v>0</v>
      </c>
    </row>
    <row r="163" spans="1:8" ht="15.75" hidden="1" outlineLevel="1" thickBot="1" x14ac:dyDescent="0.3">
      <c r="A163" s="203" t="s">
        <v>119</v>
      </c>
      <c r="B163" s="509"/>
      <c r="C163" s="289">
        <f>IF(B160=0,0,IF(H160="tubo",ROUNDUP(H161/2-1,0),0))</f>
        <v>0</v>
      </c>
      <c r="D163" s="239"/>
      <c r="E163" s="239"/>
      <c r="F163" s="239"/>
      <c r="G163" s="240"/>
      <c r="H163" s="294">
        <f>IF(C160&gt;6,ROUND(SUM(C163:G163)*$B$17*1.2,0),SUM(C163:G163)*$B$17)</f>
        <v>0</v>
      </c>
    </row>
    <row r="164" spans="1:8" ht="15.75" hidden="1" outlineLevel="1" thickBot="1" x14ac:dyDescent="0.3">
      <c r="A164" s="203" t="s">
        <v>114</v>
      </c>
      <c r="B164" s="509"/>
      <c r="C164" s="289">
        <f>IF(B160=0,0,IF(H160="Encaixe",(C160+1.5)*2*(ROUND((D160/3)+(E160/3),0)*2)+1,0))</f>
        <v>0</v>
      </c>
      <c r="D164" s="239"/>
      <c r="E164" s="239"/>
      <c r="F164" s="239"/>
      <c r="G164" s="240"/>
      <c r="H164" s="294">
        <f>IF(C160&gt;6,ROUND(SUM(C164:G164)*$B$17*1.2,0),SUM(C164:G164)*$B$17)</f>
        <v>0</v>
      </c>
    </row>
    <row r="165" spans="1:8" ht="15.75" hidden="1" outlineLevel="1" thickBot="1" x14ac:dyDescent="0.3">
      <c r="A165" s="203" t="s">
        <v>235</v>
      </c>
      <c r="B165" s="509"/>
      <c r="C165" s="239"/>
      <c r="D165" s="289">
        <f>IF(B160=0,0,IF($H$17="encaixe",D160*4*2+1,0))</f>
        <v>0</v>
      </c>
      <c r="E165" s="289">
        <f>IF(B160=0,0,IF($H$17="encaixe",E160*4*2+1,0))</f>
        <v>0</v>
      </c>
      <c r="F165" s="239"/>
      <c r="G165" s="240"/>
      <c r="H165" s="294">
        <f>IF(C160&gt;6,ROUND(SUM(C165:G165)*$B$17*1.2,0),SUM(C165:G165)*$B$17)</f>
        <v>0</v>
      </c>
    </row>
    <row r="166" spans="1:8" ht="15.75" hidden="1" outlineLevel="1" thickBot="1" x14ac:dyDescent="0.3">
      <c r="A166" s="203" t="s">
        <v>88</v>
      </c>
      <c r="B166" s="509"/>
      <c r="C166" s="289">
        <f>IF(B160=0,0,((ROUND((D160/3)+(E160/3),0)*4)))</f>
        <v>0</v>
      </c>
      <c r="D166" s="239"/>
      <c r="E166" s="239"/>
      <c r="F166" s="239"/>
      <c r="G166" s="240"/>
      <c r="H166" s="294">
        <f>IF(C160&gt;6,ROUND(SUM(C166:G166)*$B$17*1.2,0),SUM(C166:G166)*$B$17)</f>
        <v>0</v>
      </c>
    </row>
    <row r="167" spans="1:8" ht="15.75" hidden="1" outlineLevel="1" thickBot="1" x14ac:dyDescent="0.3">
      <c r="A167" s="203" t="s">
        <v>91</v>
      </c>
      <c r="B167" s="509"/>
      <c r="C167" s="291">
        <f>IF(B160=0,0,ROUNDUP(C160/2,0))</f>
        <v>0</v>
      </c>
      <c r="D167" s="241"/>
      <c r="E167" s="241"/>
      <c r="F167" s="241"/>
      <c r="G167" s="242"/>
      <c r="H167" s="294">
        <f>IF(C160&gt;6,ROUND(SUM(C167:G167)*$B$17*1.2,0),SUM(C167:G167)*$B$17)</f>
        <v>0</v>
      </c>
    </row>
    <row r="168" spans="1:8" ht="15.75" hidden="1" outlineLevel="1" thickBot="1" x14ac:dyDescent="0.3">
      <c r="A168" s="203" t="s">
        <v>118</v>
      </c>
      <c r="B168" s="509"/>
      <c r="C168" s="292">
        <f>IF(B160=0,0,IF(C160&lt;=2,0,(C160-2)/0.5))</f>
        <v>0</v>
      </c>
      <c r="D168" s="241"/>
      <c r="E168" s="241"/>
      <c r="F168" s="241"/>
      <c r="G168" s="242"/>
      <c r="H168" s="294">
        <f>IF(C160&gt;6,ROUND(SUM(C168:G168)*$B$17*1.2,0),SUM(C168:G168)*$B$17)</f>
        <v>0</v>
      </c>
    </row>
    <row r="169" spans="1:8" ht="15.75" hidden="1" outlineLevel="1" thickBot="1" x14ac:dyDescent="0.3">
      <c r="A169" s="203" t="s">
        <v>120</v>
      </c>
      <c r="B169" s="509"/>
      <c r="C169" s="291">
        <f>(ROUND((D160*E160)/0.3-1,0)*(F160+1)+ROUND((D160*E160)/0.3-1,0)*(G160))*B160</f>
        <v>0</v>
      </c>
      <c r="D169" s="241"/>
      <c r="E169" s="241"/>
      <c r="F169" s="241"/>
      <c r="G169" s="242"/>
      <c r="H169" s="294">
        <f>IF(C160&gt;6,ROUND(SUM(C169:G169)*$B$17*1.2,0),SUM(C169:G169)*$B$17)</f>
        <v>0</v>
      </c>
    </row>
    <row r="170" spans="1:8" ht="15.75" hidden="1" outlineLevel="1" thickBot="1" x14ac:dyDescent="0.3">
      <c r="A170" s="203" t="s">
        <v>121</v>
      </c>
      <c r="B170" s="510"/>
      <c r="C170" s="293">
        <f>IF(B160=0,0,(D160+E160)*2*B160*F160*IF(G160=0,1,G160))</f>
        <v>0</v>
      </c>
      <c r="D170" s="243"/>
      <c r="E170" s="243"/>
      <c r="F170" s="243"/>
      <c r="G170" s="244"/>
      <c r="H170" s="294">
        <f>IF(C160&gt;6,ROUND(SUM(C170:G170)*$B$17*1.2,0),SUM(C170:G170)*$B$17)</f>
        <v>0</v>
      </c>
    </row>
    <row r="171" spans="1:8" ht="15.75" collapsed="1" thickBot="1" x14ac:dyDescent="0.3">
      <c r="A171" s="203" t="s">
        <v>361</v>
      </c>
      <c r="B171" s="236">
        <f>SUMIFS(Simulador!D$85:D$116,Simulador!$A$85:$A$116,'Tabela de preços por Item'!$A171)</f>
        <v>0</v>
      </c>
      <c r="C171" s="236">
        <f>SUMIFS(Simulador!E$85:E$116,Simulador!$A$85:$A$116,'Tabela de preços por Item'!$A171)</f>
        <v>0</v>
      </c>
      <c r="D171" s="236">
        <f>SUMIFS(Simulador!F$85:F$116,Simulador!$A$85:$A$116,'Tabela de preços por Item'!$A171)</f>
        <v>0</v>
      </c>
      <c r="E171" s="236">
        <f>SUMIFS(Simulador!G$85:G$116,Simulador!$A$85:$A$116,'Tabela de preços por Item'!$A171)</f>
        <v>0</v>
      </c>
      <c r="F171" s="236">
        <f>SUMIFS(Simulador!H$85:H$116,Simulador!$A$85:$A$116,'Tabela de preços por Item'!$A171)</f>
        <v>0</v>
      </c>
      <c r="G171" s="236">
        <f>SUMIFS(Simulador!I$85:I$116,Simulador!$A$85:$A$116,'Tabela de preços por Item'!$A171)</f>
        <v>0</v>
      </c>
      <c r="H171" s="237" t="s">
        <v>355</v>
      </c>
    </row>
    <row r="172" spans="1:8" ht="15.75" hidden="1" outlineLevel="1" thickBot="1" x14ac:dyDescent="0.3">
      <c r="A172" s="203" t="s">
        <v>129</v>
      </c>
      <c r="B172" s="508"/>
      <c r="C172" s="288">
        <f>IF(B171=0,0,IF(H171="tubo",(C171+1.5)*2*(ROUND((D171/3)+(E171/3),0)*2)+1+ROUND(((C171/2)*SQRT(D171^2+E171^2)),0)*4,ROUND(((C171/2)*SQRT(D171^2+E171^2)),0)*4))</f>
        <v>0</v>
      </c>
      <c r="D172" s="288">
        <f>IF(B171=0,0,IF($H$17="tubo",D171*4*2,0))</f>
        <v>0</v>
      </c>
      <c r="E172" s="288">
        <f>IF(B171=0,0,IF($H$17="tubo",E171*4*2,0))</f>
        <v>0</v>
      </c>
      <c r="F172" s="238"/>
      <c r="G172" s="290">
        <f>IF(G171=0,0,((G171*E171)+(G171*D171))*2)</f>
        <v>0</v>
      </c>
      <c r="H172" s="294">
        <f>IF(C171&gt;6,ROUND(SUM(C172:G172)*$B$17*1.2,0),SUM(C172:G172)*$B$17)</f>
        <v>0</v>
      </c>
    </row>
    <row r="173" spans="1:8" ht="15.75" hidden="1" outlineLevel="1" thickBot="1" x14ac:dyDescent="0.3">
      <c r="A173" s="203" t="s">
        <v>115</v>
      </c>
      <c r="B173" s="509"/>
      <c r="C173" s="289">
        <f>IF(B171=0,0,IF(H171="tubo",C171*6+15,B171*4+C178*2))</f>
        <v>0</v>
      </c>
      <c r="D173" s="239"/>
      <c r="E173" s="239"/>
      <c r="F173" s="239"/>
      <c r="G173" s="240"/>
      <c r="H173" s="294">
        <f>IF(C171&gt;6,ROUND(SUM(C173:G173)*$B$17*1.2,0),SUM(C173:G173)*$B$17)</f>
        <v>0</v>
      </c>
    </row>
    <row r="174" spans="1:8" ht="15.75" hidden="1" outlineLevel="1" thickBot="1" x14ac:dyDescent="0.3">
      <c r="A174" s="203" t="s">
        <v>119</v>
      </c>
      <c r="B174" s="509"/>
      <c r="C174" s="289">
        <f>IF(B171=0,0,IF(H171="tubo",ROUNDUP(H172/2-1,0),0))</f>
        <v>0</v>
      </c>
      <c r="D174" s="239"/>
      <c r="E174" s="239"/>
      <c r="F174" s="239"/>
      <c r="G174" s="240"/>
      <c r="H174" s="294">
        <f>IF(C171&gt;6,ROUND(SUM(C174:G174)*$B$17*1.2,0),SUM(C174:G174)*$B$17)</f>
        <v>0</v>
      </c>
    </row>
    <row r="175" spans="1:8" ht="15.75" hidden="1" outlineLevel="1" thickBot="1" x14ac:dyDescent="0.3">
      <c r="A175" s="203" t="s">
        <v>114</v>
      </c>
      <c r="B175" s="509"/>
      <c r="C175" s="289">
        <f>IF(B171=0,0,IF(H171="Encaixe",(C171+1.5)*2*(ROUND((D171/3)+(E171/3),0)*2)+1,0))</f>
        <v>0</v>
      </c>
      <c r="D175" s="239"/>
      <c r="E175" s="239"/>
      <c r="F175" s="239"/>
      <c r="G175" s="240"/>
      <c r="H175" s="294">
        <f>IF(C171&gt;6,ROUND(SUM(C175:G175)*$B$17*1.2,0),SUM(C175:G175)*$B$17)</f>
        <v>0</v>
      </c>
    </row>
    <row r="176" spans="1:8" ht="15.75" hidden="1" outlineLevel="1" thickBot="1" x14ac:dyDescent="0.3">
      <c r="A176" s="203" t="s">
        <v>235</v>
      </c>
      <c r="B176" s="509"/>
      <c r="C176" s="239"/>
      <c r="D176" s="289">
        <f>IF(B171=0,0,IF($H$17="encaixe",D171*4*2+1,0))</f>
        <v>0</v>
      </c>
      <c r="E176" s="289">
        <f>IF(B171=0,0,IF($H$17="encaixe",E171*4*2+1,0))</f>
        <v>0</v>
      </c>
      <c r="F176" s="239"/>
      <c r="G176" s="240"/>
      <c r="H176" s="294">
        <f>IF(C171&gt;6,ROUND(SUM(C176:G176)*$B$17*1.2,0),SUM(C176:G176)*$B$17)</f>
        <v>0</v>
      </c>
    </row>
    <row r="177" spans="1:8" ht="15.75" hidden="1" outlineLevel="1" thickBot="1" x14ac:dyDescent="0.3">
      <c r="A177" s="203" t="s">
        <v>88</v>
      </c>
      <c r="B177" s="509"/>
      <c r="C177" s="289">
        <f>IF(B171=0,0,((ROUND((D171/3)+(E171/3),0)*4)))</f>
        <v>0</v>
      </c>
      <c r="D177" s="239"/>
      <c r="E177" s="239"/>
      <c r="F177" s="239"/>
      <c r="G177" s="240"/>
      <c r="H177" s="294">
        <f>IF(C171&gt;6,ROUND(SUM(C177:G177)*$B$17*1.2,0),SUM(C177:G177)*$B$17)</f>
        <v>0</v>
      </c>
    </row>
    <row r="178" spans="1:8" ht="15.75" hidden="1" outlineLevel="1" thickBot="1" x14ac:dyDescent="0.3">
      <c r="A178" s="203" t="s">
        <v>91</v>
      </c>
      <c r="B178" s="509"/>
      <c r="C178" s="291">
        <f>IF(B171=0,0,ROUNDUP(C171/2,0))</f>
        <v>0</v>
      </c>
      <c r="D178" s="241"/>
      <c r="E178" s="241"/>
      <c r="F178" s="241"/>
      <c r="G178" s="242"/>
      <c r="H178" s="294">
        <f>IF(C171&gt;6,ROUND(SUM(C178:G178)*$B$17*1.2,0),SUM(C178:G178)*$B$17)</f>
        <v>0</v>
      </c>
    </row>
    <row r="179" spans="1:8" ht="15.75" hidden="1" outlineLevel="1" thickBot="1" x14ac:dyDescent="0.3">
      <c r="A179" s="203" t="s">
        <v>118</v>
      </c>
      <c r="B179" s="509"/>
      <c r="C179" s="292">
        <f>IF(B171=0,0,IF(C171&lt;=2,0,(C171-2)/0.5))</f>
        <v>0</v>
      </c>
      <c r="D179" s="241"/>
      <c r="E179" s="241"/>
      <c r="F179" s="241"/>
      <c r="G179" s="242"/>
      <c r="H179" s="294">
        <f>IF(C171&gt;6,ROUND(SUM(C179:G179)*$B$17*1.2,0),SUM(C179:G179)*$B$17)</f>
        <v>0</v>
      </c>
    </row>
    <row r="180" spans="1:8" ht="15.75" hidden="1" outlineLevel="1" thickBot="1" x14ac:dyDescent="0.3">
      <c r="A180" s="203" t="s">
        <v>120</v>
      </c>
      <c r="B180" s="509"/>
      <c r="C180" s="291">
        <f>(ROUND((D171*E171)/0.3-1,0)*(F171+1)+ROUND((D171*E171)/0.3-1,0)*(G171))*B171</f>
        <v>0</v>
      </c>
      <c r="D180" s="241"/>
      <c r="E180" s="241"/>
      <c r="F180" s="241"/>
      <c r="G180" s="242"/>
      <c r="H180" s="294">
        <f>IF(C171&gt;6,ROUND(SUM(C180:G180)*$B$17*1.2,0),SUM(C180:G180)*$B$17)</f>
        <v>0</v>
      </c>
    </row>
    <row r="181" spans="1:8" ht="15.75" hidden="1" outlineLevel="1" thickBot="1" x14ac:dyDescent="0.3">
      <c r="A181" s="203" t="s">
        <v>121</v>
      </c>
      <c r="B181" s="510"/>
      <c r="C181" s="293">
        <f>IF(B171=0,0,(D171+E171)*2*B171*F171*IF(G171=0,1,G171))</f>
        <v>0</v>
      </c>
      <c r="D181" s="243"/>
      <c r="E181" s="243"/>
      <c r="F181" s="243"/>
      <c r="G181" s="244"/>
      <c r="H181" s="294">
        <f>IF(C171&gt;6,ROUND(SUM(C181:G181)*$B$17*1.2,0),SUM(C181:G181)*$B$17)</f>
        <v>0</v>
      </c>
    </row>
    <row r="182" spans="1:8" ht="15.75" collapsed="1" thickBot="1" x14ac:dyDescent="0.3">
      <c r="A182" s="203" t="s">
        <v>362</v>
      </c>
      <c r="B182" s="236">
        <f>SUMIFS(Simulador!D$85:D$116,Simulador!$A$85:$A$116,'Tabela de preços por Item'!$A182)</f>
        <v>0</v>
      </c>
      <c r="C182" s="236">
        <f>SUMIFS(Simulador!E$85:E$116,Simulador!$A$85:$A$116,'Tabela de preços por Item'!$A182)</f>
        <v>0</v>
      </c>
      <c r="D182" s="236">
        <f>SUMIFS(Simulador!F$85:F$116,Simulador!$A$85:$A$116,'Tabela de preços por Item'!$A182)</f>
        <v>0</v>
      </c>
      <c r="E182" s="236">
        <f>SUMIFS(Simulador!G$85:G$116,Simulador!$A$85:$A$116,'Tabela de preços por Item'!$A182)</f>
        <v>0</v>
      </c>
      <c r="F182" s="236">
        <f>SUMIFS(Simulador!H$85:H$116,Simulador!$A$85:$A$116,'Tabela de preços por Item'!$A182)</f>
        <v>0</v>
      </c>
      <c r="G182" s="236">
        <f>SUMIFS(Simulador!I$85:I$116,Simulador!$A$85:$A$116,'Tabela de preços por Item'!$A182)</f>
        <v>0</v>
      </c>
      <c r="H182" s="237" t="s">
        <v>355</v>
      </c>
    </row>
    <row r="183" spans="1:8" ht="15.75" hidden="1" outlineLevel="1" thickBot="1" x14ac:dyDescent="0.3">
      <c r="A183" s="203" t="s">
        <v>129</v>
      </c>
      <c r="B183" s="508"/>
      <c r="C183" s="288">
        <f>IF(B182=0,0,IF(H182="tubo",(C182+1.5)*2*(ROUND((D182/3)+(E182/3),0)*2)+1+ROUND(((C182/2)*SQRT(D182^2+E182^2)),0)*4,ROUND(((C182/2)*SQRT(D182^2+E182^2)),0)*4))</f>
        <v>0</v>
      </c>
      <c r="D183" s="288">
        <f>IF(B182=0,0,IF($H$17="tubo",D182*4*2,0))</f>
        <v>0</v>
      </c>
      <c r="E183" s="288">
        <f>IF(B182=0,0,IF($H$17="tubo",E182*4*2,0))</f>
        <v>0</v>
      </c>
      <c r="F183" s="238"/>
      <c r="G183" s="290">
        <f>IF(G182=0,0,((G182*E182)+(G182*D182))*2)</f>
        <v>0</v>
      </c>
      <c r="H183" s="294">
        <f>IF(C182&gt;6,ROUND(SUM(C183:G183)*$B$17*1.2,0),SUM(C183:G183)*$B$17)</f>
        <v>0</v>
      </c>
    </row>
    <row r="184" spans="1:8" ht="15.75" hidden="1" outlineLevel="1" thickBot="1" x14ac:dyDescent="0.3">
      <c r="A184" s="203" t="s">
        <v>115</v>
      </c>
      <c r="B184" s="509"/>
      <c r="C184" s="289">
        <f>IF(B182=0,0,IF(H182="tubo",C182*6+15,B182*4+C189*2))</f>
        <v>0</v>
      </c>
      <c r="D184" s="239"/>
      <c r="E184" s="239"/>
      <c r="F184" s="239"/>
      <c r="G184" s="240"/>
      <c r="H184" s="294">
        <f>IF(C182&gt;6,ROUND(SUM(C184:G184)*$B$17*1.2,0),SUM(C184:G184)*$B$17)</f>
        <v>0</v>
      </c>
    </row>
    <row r="185" spans="1:8" ht="15.75" hidden="1" outlineLevel="1" thickBot="1" x14ac:dyDescent="0.3">
      <c r="A185" s="203" t="s">
        <v>119</v>
      </c>
      <c r="B185" s="509"/>
      <c r="C185" s="289">
        <f>IF(B182=0,0,IF(H182="tubo",ROUNDUP(H183/2-1,0),0))</f>
        <v>0</v>
      </c>
      <c r="D185" s="239"/>
      <c r="E185" s="239"/>
      <c r="F185" s="239"/>
      <c r="G185" s="240"/>
      <c r="H185" s="294">
        <f>IF(C182&gt;6,ROUND(SUM(C185:G185)*$B$17*1.2,0),SUM(C185:G185)*$B$17)</f>
        <v>0</v>
      </c>
    </row>
    <row r="186" spans="1:8" ht="15.75" hidden="1" outlineLevel="1" thickBot="1" x14ac:dyDescent="0.3">
      <c r="A186" s="203" t="s">
        <v>114</v>
      </c>
      <c r="B186" s="509"/>
      <c r="C186" s="289">
        <f>IF(B182=0,0,IF(H182="Encaixe",(C182+1.5)*2*(ROUND((D182/3)+(E182/3),0)*2)+1,0))</f>
        <v>0</v>
      </c>
      <c r="D186" s="239"/>
      <c r="E186" s="239"/>
      <c r="F186" s="239"/>
      <c r="G186" s="240"/>
      <c r="H186" s="294">
        <f>IF(C182&gt;6,ROUND(SUM(C186:G186)*$B$17*1.2,0),SUM(C186:G186)*$B$17)</f>
        <v>0</v>
      </c>
    </row>
    <row r="187" spans="1:8" ht="15.75" hidden="1" outlineLevel="1" thickBot="1" x14ac:dyDescent="0.3">
      <c r="A187" s="203" t="s">
        <v>235</v>
      </c>
      <c r="B187" s="509"/>
      <c r="C187" s="239"/>
      <c r="D187" s="289">
        <f>IF(B182=0,0,IF($H$17="encaixe",D182*4*2+1,0))</f>
        <v>0</v>
      </c>
      <c r="E187" s="289">
        <f>IF(B182=0,0,IF($H$17="encaixe",E182*4*2+1,0))</f>
        <v>0</v>
      </c>
      <c r="F187" s="239"/>
      <c r="G187" s="240"/>
      <c r="H187" s="294">
        <f>IF(C182&gt;6,ROUND(SUM(C187:G187)*$B$17*1.2,0),SUM(C187:G187)*$B$17)</f>
        <v>0</v>
      </c>
    </row>
    <row r="188" spans="1:8" ht="15.75" hidden="1" outlineLevel="1" thickBot="1" x14ac:dyDescent="0.3">
      <c r="A188" s="203" t="s">
        <v>88</v>
      </c>
      <c r="B188" s="509"/>
      <c r="C188" s="289">
        <f>IF(B182=0,0,((ROUND((D182/3)+(E182/3),0)*4)))</f>
        <v>0</v>
      </c>
      <c r="D188" s="239"/>
      <c r="E188" s="239"/>
      <c r="F188" s="239"/>
      <c r="G188" s="240"/>
      <c r="H188" s="294">
        <f>IF(C182&gt;6,ROUND(SUM(C188:G188)*$B$17*1.2,0),SUM(C188:G188)*$B$17)</f>
        <v>0</v>
      </c>
    </row>
    <row r="189" spans="1:8" ht="15.75" hidden="1" outlineLevel="1" thickBot="1" x14ac:dyDescent="0.3">
      <c r="A189" s="203" t="s">
        <v>91</v>
      </c>
      <c r="B189" s="509"/>
      <c r="C189" s="291">
        <f>IF(B182=0,0,ROUNDUP(C182/2,0))</f>
        <v>0</v>
      </c>
      <c r="D189" s="241"/>
      <c r="E189" s="241"/>
      <c r="F189" s="241"/>
      <c r="G189" s="242"/>
      <c r="H189" s="294">
        <f>IF(C182&gt;6,ROUND(SUM(C189:G189)*$B$17*1.2,0),SUM(C189:G189)*$B$17)</f>
        <v>0</v>
      </c>
    </row>
    <row r="190" spans="1:8" ht="15.75" hidden="1" outlineLevel="1" thickBot="1" x14ac:dyDescent="0.3">
      <c r="A190" s="203" t="s">
        <v>118</v>
      </c>
      <c r="B190" s="509"/>
      <c r="C190" s="292">
        <f>IF(B182=0,0,IF(C182&lt;=2,0,(C182-2)/0.5))</f>
        <v>0</v>
      </c>
      <c r="D190" s="241"/>
      <c r="E190" s="241"/>
      <c r="F190" s="241"/>
      <c r="G190" s="242"/>
      <c r="H190" s="294">
        <f>IF(C182&gt;6,ROUND(SUM(C190:G190)*$B$17*1.2,0),SUM(C190:G190)*$B$17)</f>
        <v>0</v>
      </c>
    </row>
    <row r="191" spans="1:8" ht="15.75" hidden="1" outlineLevel="1" thickBot="1" x14ac:dyDescent="0.3">
      <c r="A191" s="203" t="s">
        <v>120</v>
      </c>
      <c r="B191" s="509"/>
      <c r="C191" s="291">
        <f>(ROUND((D182*E182)/0.3-1,0)*(F182+1)+ROUND((D182*E182)/0.3-1,0)*(G182))*B182</f>
        <v>0</v>
      </c>
      <c r="D191" s="241"/>
      <c r="E191" s="241"/>
      <c r="F191" s="241"/>
      <c r="G191" s="242"/>
      <c r="H191" s="294">
        <f>IF(C182&gt;6,ROUND(SUM(C191:G191)*$B$17*1.2,0),SUM(C191:G191)*$B$17)</f>
        <v>0</v>
      </c>
    </row>
    <row r="192" spans="1:8" ht="15.75" hidden="1" outlineLevel="1" thickBot="1" x14ac:dyDescent="0.3">
      <c r="A192" s="203" t="s">
        <v>121</v>
      </c>
      <c r="B192" s="510"/>
      <c r="C192" s="293">
        <f>IF(B182=0,0,(D182+E182)*2*B182*F182*IF(G182=0,1,G182))</f>
        <v>0</v>
      </c>
      <c r="D192" s="243"/>
      <c r="E192" s="243"/>
      <c r="F192" s="243"/>
      <c r="G192" s="244"/>
      <c r="H192" s="294">
        <f>IF(C182&gt;6,ROUND(SUM(C192:G192)*$B$17*1.2,0),SUM(C192:G192)*$B$17)</f>
        <v>0</v>
      </c>
    </row>
    <row r="193" spans="1:22" ht="15.75" collapsed="1" thickBot="1" x14ac:dyDescent="0.3">
      <c r="A193" s="203" t="s">
        <v>363</v>
      </c>
      <c r="B193" s="236">
        <f>SUMIFS(Simulador!D$85:D$116,Simulador!$A$85:$A$116,'Tabela de preços por Item'!$A193)</f>
        <v>0</v>
      </c>
      <c r="C193" s="236">
        <f>SUMIFS(Simulador!E$85:E$116,Simulador!$A$85:$A$116,'Tabela de preços por Item'!$A193)</f>
        <v>0</v>
      </c>
      <c r="D193" s="236">
        <f>SUMIFS(Simulador!F$85:F$116,Simulador!$A$85:$A$116,'Tabela de preços por Item'!$A193)</f>
        <v>0</v>
      </c>
      <c r="E193" s="236">
        <f>SUMIFS(Simulador!G$85:G$116,Simulador!$A$85:$A$116,'Tabela de preços por Item'!$A193)</f>
        <v>0</v>
      </c>
      <c r="F193" s="236">
        <f>SUMIFS(Simulador!H$85:H$116,Simulador!$A$85:$A$116,'Tabela de preços por Item'!$A193)</f>
        <v>0</v>
      </c>
      <c r="G193" s="236">
        <f>SUMIFS(Simulador!I$85:I$116,Simulador!$A$85:$A$116,'Tabela de preços por Item'!$A193)</f>
        <v>0</v>
      </c>
      <c r="H193" s="237" t="s">
        <v>355</v>
      </c>
    </row>
    <row r="194" spans="1:22" ht="15.75" hidden="1" outlineLevel="1" thickBot="1" x14ac:dyDescent="0.3">
      <c r="A194" s="203" t="s">
        <v>129</v>
      </c>
      <c r="B194" s="508"/>
      <c r="C194" s="288">
        <f>IF(B193=0,0,IF(H193="tubo",(C193+1.5)*2*(ROUND((D193/3)+(E193/3),0)*2)+1+ROUND(((C193/2)*SQRT(D193^2+E193^2)),0)*4,ROUND(((C193/2)*SQRT(D193^2+E193^2)),0)*4))</f>
        <v>0</v>
      </c>
      <c r="D194" s="288">
        <f>IF(B193=0,0,IF($H$17="tubo",D193*4*2,0))</f>
        <v>0</v>
      </c>
      <c r="E194" s="288">
        <f>IF(B193=0,0,IF($H$17="tubo",E193*4*2,0))</f>
        <v>0</v>
      </c>
      <c r="F194" s="238"/>
      <c r="G194" s="290">
        <f>IF(G193=0,0,((G193*E193)+(G193*D193))*2)</f>
        <v>0</v>
      </c>
      <c r="H194" s="294">
        <f>IF(C193&gt;6,ROUND(SUM(C194:G194)*$B$17*1.2,0),SUM(C194:G194)*$B$17)</f>
        <v>0</v>
      </c>
    </row>
    <row r="195" spans="1:22" ht="15.75" hidden="1" outlineLevel="1" thickBot="1" x14ac:dyDescent="0.3">
      <c r="A195" s="203" t="s">
        <v>115</v>
      </c>
      <c r="B195" s="509"/>
      <c r="C195" s="289">
        <f>IF(B193=0,0,IF(H193="tubo",C193*6+15,B193*4+C200*2))</f>
        <v>0</v>
      </c>
      <c r="D195" s="239"/>
      <c r="E195" s="239"/>
      <c r="F195" s="239"/>
      <c r="G195" s="240"/>
      <c r="H195" s="294">
        <f>IF(C193&gt;6,ROUND(SUM(C195:G195)*$B$17*1.2,0),SUM(C195:G195)*$B$17)</f>
        <v>0</v>
      </c>
    </row>
    <row r="196" spans="1:22" ht="15.75" hidden="1" outlineLevel="1" thickBot="1" x14ac:dyDescent="0.3">
      <c r="A196" s="203" t="s">
        <v>119</v>
      </c>
      <c r="B196" s="509"/>
      <c r="C196" s="289">
        <f>IF(B193=0,0,IF(H193="tubo",ROUNDUP(H194/2-1,0),0))</f>
        <v>0</v>
      </c>
      <c r="D196" s="239"/>
      <c r="E196" s="239"/>
      <c r="F196" s="239"/>
      <c r="G196" s="240"/>
      <c r="H196" s="294">
        <f>IF(C193&gt;6,ROUND(SUM(C196:G196)*$B$17*1.2,0),SUM(C196:G196)*$B$17)</f>
        <v>0</v>
      </c>
    </row>
    <row r="197" spans="1:22" ht="15.75" hidden="1" outlineLevel="1" thickBot="1" x14ac:dyDescent="0.3">
      <c r="A197" s="203" t="s">
        <v>114</v>
      </c>
      <c r="B197" s="509"/>
      <c r="C197" s="289">
        <f>IF(B193=0,0,IF(H193="Encaixe",(C193+1.5)*2*(ROUND((D193/3)+(E193/3),0)*2)+1,0))</f>
        <v>0</v>
      </c>
      <c r="D197" s="239"/>
      <c r="E197" s="239"/>
      <c r="F197" s="239"/>
      <c r="G197" s="240"/>
      <c r="H197" s="294">
        <f>IF(C193&gt;6,ROUND(SUM(C197:G197)*$B$17*1.2,0),SUM(C197:G197)*$B$17)</f>
        <v>0</v>
      </c>
    </row>
    <row r="198" spans="1:22" ht="15.75" hidden="1" outlineLevel="1" thickBot="1" x14ac:dyDescent="0.3">
      <c r="A198" s="203" t="s">
        <v>235</v>
      </c>
      <c r="B198" s="509"/>
      <c r="C198" s="239"/>
      <c r="D198" s="289">
        <f>IF(B193=0,0,IF($H$17="encaixe",D193*4*2+1,0))</f>
        <v>0</v>
      </c>
      <c r="E198" s="289">
        <f>IF(B193=0,0,IF($H$17="encaixe",E193*4*2+1,0))</f>
        <v>0</v>
      </c>
      <c r="F198" s="239"/>
      <c r="G198" s="240"/>
      <c r="H198" s="294">
        <f>IF(C193&gt;6,ROUND(SUM(C198:G198)*$B$17*1.2,0),SUM(C198:G198)*$B$17)</f>
        <v>0</v>
      </c>
    </row>
    <row r="199" spans="1:22" ht="15.75" hidden="1" outlineLevel="1" thickBot="1" x14ac:dyDescent="0.3">
      <c r="A199" s="203" t="s">
        <v>88</v>
      </c>
      <c r="B199" s="509"/>
      <c r="C199" s="289">
        <f>IF(B193=0,0,((ROUND((D193/3)+(E193/3),0)*4)))</f>
        <v>0</v>
      </c>
      <c r="D199" s="239"/>
      <c r="E199" s="239"/>
      <c r="F199" s="239"/>
      <c r="G199" s="240"/>
      <c r="H199" s="294">
        <f>IF(C193&gt;6,ROUND(SUM(C199:G199)*$B$17*1.2,0),SUM(C199:G199)*$B$17)</f>
        <v>0</v>
      </c>
    </row>
    <row r="200" spans="1:22" ht="15.75" hidden="1" outlineLevel="1" thickBot="1" x14ac:dyDescent="0.3">
      <c r="A200" s="203" t="s">
        <v>91</v>
      </c>
      <c r="B200" s="509"/>
      <c r="C200" s="291">
        <f>IF(B193=0,0,ROUNDUP(C193/2,0))</f>
        <v>0</v>
      </c>
      <c r="D200" s="241"/>
      <c r="E200" s="241"/>
      <c r="F200" s="241"/>
      <c r="G200" s="242"/>
      <c r="H200" s="294">
        <f>IF(C193&gt;6,ROUND(SUM(C200:G200)*$B$17*1.2,0),SUM(C200:G200)*$B$17)</f>
        <v>0</v>
      </c>
    </row>
    <row r="201" spans="1:22" ht="15.75" hidden="1" outlineLevel="1" thickBot="1" x14ac:dyDescent="0.3">
      <c r="A201" s="203" t="s">
        <v>118</v>
      </c>
      <c r="B201" s="509"/>
      <c r="C201" s="292">
        <f>IF(B193=0,0,IF(C193&lt;=2,0,(C193-2)/0.5))</f>
        <v>0</v>
      </c>
      <c r="D201" s="241"/>
      <c r="E201" s="241"/>
      <c r="F201" s="241"/>
      <c r="G201" s="242"/>
      <c r="H201" s="294">
        <f>IF(C193&gt;6,ROUND(SUM(C201:G201)*$B$17*1.2,0),SUM(C201:G201)*$B$17)</f>
        <v>0</v>
      </c>
    </row>
    <row r="202" spans="1:22" ht="15.75" hidden="1" outlineLevel="1" thickBot="1" x14ac:dyDescent="0.3">
      <c r="A202" s="203" t="s">
        <v>120</v>
      </c>
      <c r="B202" s="509"/>
      <c r="C202" s="291">
        <f>(ROUND((D193*E193)/0.3-1,0)*(F193+1)+ROUND((D193*E193)/0.3-1,0)*(G193))*B193</f>
        <v>0</v>
      </c>
      <c r="D202" s="241"/>
      <c r="E202" s="241"/>
      <c r="F202" s="241"/>
      <c r="G202" s="242"/>
      <c r="H202" s="294">
        <f>IF(C193&gt;6,ROUND(SUM(C202:G202)*$B$17*1.2,0),SUM(C202:G202)*$B$17)</f>
        <v>0</v>
      </c>
    </row>
    <row r="203" spans="1:22" ht="15.75" hidden="1" outlineLevel="1" thickBot="1" x14ac:dyDescent="0.3">
      <c r="A203" s="203" t="s">
        <v>121</v>
      </c>
      <c r="B203" s="510"/>
      <c r="C203" s="293">
        <f>IF(B193=0,0,(D193+E193)*2*B193*F193*IF(G193=0,1,G193))</f>
        <v>0</v>
      </c>
      <c r="D203" s="243"/>
      <c r="E203" s="243"/>
      <c r="F203" s="243"/>
      <c r="G203" s="244"/>
      <c r="H203" s="294">
        <f>IF(C193&gt;6,ROUND(SUM(C203:G203)*$B$17*1.2,0),SUM(C203:G203)*$B$17)</f>
        <v>0</v>
      </c>
    </row>
    <row r="204" spans="1:22" ht="15.75" collapsed="1" thickBot="1" x14ac:dyDescent="0.3">
      <c r="A204" s="203" t="s">
        <v>364</v>
      </c>
      <c r="B204" s="236">
        <f>SUMIFS(Simulador!D$85:D$116,Simulador!$A$85:$A$116,'Tabela de preços por Item'!$A204)</f>
        <v>0</v>
      </c>
      <c r="C204" s="236">
        <f>SUMIFS(Simulador!E$85:E$116,Simulador!$A$85:$A$116,'Tabela de preços por Item'!$A204)</f>
        <v>0</v>
      </c>
      <c r="D204" s="236">
        <f>SUMIFS(Simulador!F$85:F$116,Simulador!$A$85:$A$116,'Tabela de preços por Item'!$A204)</f>
        <v>0</v>
      </c>
      <c r="E204" s="236">
        <f>SUMIFS(Simulador!G$85:G$116,Simulador!$A$85:$A$116,'Tabela de preços por Item'!$A204)</f>
        <v>0</v>
      </c>
      <c r="F204" s="236">
        <f>SUMIFS(Simulador!H$85:H$116,Simulador!$A$85:$A$116,'Tabela de preços por Item'!$A204)</f>
        <v>0</v>
      </c>
      <c r="G204" s="236">
        <f>SUMIFS(Simulador!I$85:I$116,Simulador!$A$85:$A$116,'Tabela de preços por Item'!$A204)</f>
        <v>0</v>
      </c>
      <c r="H204" s="237" t="s">
        <v>355</v>
      </c>
    </row>
    <row r="205" spans="1:22" ht="15.75" hidden="1" outlineLevel="1" thickBot="1" x14ac:dyDescent="0.3">
      <c r="A205" s="203" t="s">
        <v>129</v>
      </c>
      <c r="B205" s="508"/>
      <c r="C205" s="288">
        <f>IF(B204=0,0,IF(H204="tubo",(C204+1.5)*2*(ROUND((D204/3)+(E204/3),0)*2)+1+ROUND(((C204/2)*SQRT(D204^2+E204^2)),0)*4,ROUND(((C204/2)*SQRT(D204^2+E204^2)),0)*4))</f>
        <v>0</v>
      </c>
      <c r="D205" s="288">
        <f>IF(B204=0,0,IF($H$17="tubo",D204*4*2,0))</f>
        <v>0</v>
      </c>
      <c r="E205" s="288">
        <f>IF(B204=0,0,IF($H$17="tubo",E204*4*2,0))</f>
        <v>0</v>
      </c>
      <c r="F205" s="238"/>
      <c r="G205" s="290">
        <f>IF(G204=0,0,((G204*E204)+(G204*D204))*2)</f>
        <v>0</v>
      </c>
      <c r="H205" s="294">
        <f>IF(C204&gt;6,ROUND(SUM(C205:G205)*$B$17*1.2,0),SUM(C205:G205)*$B$17)</f>
        <v>0</v>
      </c>
      <c r="R205" s="29"/>
      <c r="S205" s="29"/>
      <c r="T205" s="29"/>
      <c r="U205" s="29"/>
    </row>
    <row r="206" spans="1:22" ht="15.75" hidden="1" outlineLevel="1" thickBot="1" x14ac:dyDescent="0.3">
      <c r="A206" s="203" t="s">
        <v>115</v>
      </c>
      <c r="B206" s="509"/>
      <c r="C206" s="289">
        <f>IF(B204=0,0,IF(H204="tubo",C204*6+15,B204*4+C211*2))</f>
        <v>0</v>
      </c>
      <c r="D206" s="239"/>
      <c r="E206" s="239"/>
      <c r="F206" s="239"/>
      <c r="G206" s="240"/>
      <c r="H206" s="294">
        <f>IF(C204&gt;6,ROUND(SUM(C206:G206)*$B$17*1.2,0),SUM(C206:G206)*$B$17)</f>
        <v>0</v>
      </c>
      <c r="R206" s="29"/>
      <c r="S206" s="29"/>
      <c r="T206" s="29"/>
      <c r="U206" s="29"/>
    </row>
    <row r="207" spans="1:22" ht="15.75" hidden="1" outlineLevel="1" thickBot="1" x14ac:dyDescent="0.3">
      <c r="A207" s="203" t="s">
        <v>119</v>
      </c>
      <c r="B207" s="509"/>
      <c r="C207" s="289">
        <f>IF(B204=0,0,IF(H204="tubo",ROUNDUP(H205/2-1,0),0))</f>
        <v>0</v>
      </c>
      <c r="D207" s="239"/>
      <c r="E207" s="239"/>
      <c r="F207" s="239"/>
      <c r="G207" s="240"/>
      <c r="H207" s="294">
        <f>IF(C204&gt;6,ROUND(SUM(C207:G207)*$B$17*1.2,0),SUM(C207:G207)*$B$17)</f>
        <v>0</v>
      </c>
      <c r="R207" s="29"/>
      <c r="S207" s="29"/>
      <c r="T207" s="29"/>
      <c r="U207" s="29"/>
      <c r="V207" s="29"/>
    </row>
    <row r="208" spans="1:22" ht="15.75" hidden="1" outlineLevel="1" thickBot="1" x14ac:dyDescent="0.3">
      <c r="A208" s="203" t="s">
        <v>114</v>
      </c>
      <c r="B208" s="509"/>
      <c r="C208" s="289">
        <f>IF(B204=0,0,IF(H204="Encaixe",(C204+1.5)*2*(ROUND((D204/3)+(E204/3),0)*2)+1,0))</f>
        <v>0</v>
      </c>
      <c r="D208" s="239"/>
      <c r="E208" s="239"/>
      <c r="F208" s="239"/>
      <c r="G208" s="240"/>
      <c r="H208" s="294">
        <f>IF(C204&gt;6,ROUND(SUM(C208:G208)*$B$17*1.2,0),SUM(C208:G208)*$B$17)</f>
        <v>0</v>
      </c>
      <c r="R208" s="29"/>
      <c r="S208" s="29"/>
      <c r="T208" s="29"/>
      <c r="U208" s="29"/>
      <c r="V208" s="29"/>
    </row>
    <row r="209" spans="1:22" ht="15.75" hidden="1" outlineLevel="1" thickBot="1" x14ac:dyDescent="0.3">
      <c r="A209" s="203" t="s">
        <v>235</v>
      </c>
      <c r="B209" s="509"/>
      <c r="C209" s="239"/>
      <c r="D209" s="289">
        <f>IF(B204=0,0,IF($H$17="encaixe",D204*4*2+1,0))</f>
        <v>0</v>
      </c>
      <c r="E209" s="289">
        <f>IF(B204=0,0,IF($H$17="encaixe",E204*4*2+1,0))</f>
        <v>0</v>
      </c>
      <c r="F209" s="239"/>
      <c r="G209" s="240"/>
      <c r="H209" s="294">
        <f>IF(C204&gt;6,ROUND(SUM(C209:G209)*$B$17*1.2,0),SUM(C209:G209)*$B$17)</f>
        <v>0</v>
      </c>
      <c r="R209" s="29"/>
      <c r="S209" s="29"/>
      <c r="T209" s="29"/>
      <c r="U209" s="29"/>
      <c r="V209" s="29"/>
    </row>
    <row r="210" spans="1:22" ht="15.75" hidden="1" outlineLevel="1" thickBot="1" x14ac:dyDescent="0.3">
      <c r="A210" s="203" t="s">
        <v>88</v>
      </c>
      <c r="B210" s="509"/>
      <c r="C210" s="289">
        <f>IF(B204=0,0,((ROUND((D204/3)+(E204/3),0)*4)))</f>
        <v>0</v>
      </c>
      <c r="D210" s="239"/>
      <c r="E210" s="239"/>
      <c r="F210" s="239"/>
      <c r="G210" s="240"/>
      <c r="H210" s="294">
        <f>IF(C204&gt;6,ROUND(SUM(C210:G210)*$B$17*1.2,0),SUM(C210:G210)*$B$17)</f>
        <v>0</v>
      </c>
      <c r="R210" s="29"/>
      <c r="S210" s="29"/>
      <c r="T210" s="29"/>
      <c r="U210" s="29"/>
      <c r="V210" s="29"/>
    </row>
    <row r="211" spans="1:22" ht="15.75" hidden="1" outlineLevel="1" thickBot="1" x14ac:dyDescent="0.3">
      <c r="A211" s="203" t="s">
        <v>91</v>
      </c>
      <c r="B211" s="509"/>
      <c r="C211" s="291">
        <f>IF(B204=0,0,ROUNDUP(C204/2,0))</f>
        <v>0</v>
      </c>
      <c r="D211" s="241"/>
      <c r="E211" s="241"/>
      <c r="F211" s="241"/>
      <c r="G211" s="242"/>
      <c r="H211" s="294">
        <f>IF(C204&gt;6,ROUND(SUM(C211:G211)*$B$17*1.2,0),SUM(C211:G211)*$B$17)</f>
        <v>0</v>
      </c>
      <c r="R211" s="29"/>
      <c r="S211" s="29"/>
      <c r="T211" s="29"/>
      <c r="U211" s="29"/>
      <c r="V211" s="29"/>
    </row>
    <row r="212" spans="1:22" ht="15.75" hidden="1" outlineLevel="1" thickBot="1" x14ac:dyDescent="0.3">
      <c r="A212" s="203" t="s">
        <v>118</v>
      </c>
      <c r="B212" s="509"/>
      <c r="C212" s="292">
        <f>IF(B204=0,0,IF(C204&lt;=2,0,(C204-2)/0.5))</f>
        <v>0</v>
      </c>
      <c r="D212" s="241"/>
      <c r="E212" s="241"/>
      <c r="F212" s="241"/>
      <c r="G212" s="242"/>
      <c r="H212" s="294">
        <f>IF(C204&gt;6,ROUND(SUM(C212:G212)*$B$17*1.2,0),SUM(C212:G212)*$B$17)</f>
        <v>0</v>
      </c>
      <c r="R212" s="29"/>
      <c r="S212" s="29"/>
      <c r="T212" s="29"/>
      <c r="U212" s="29"/>
      <c r="V212" s="29"/>
    </row>
    <row r="213" spans="1:22" ht="15.75" hidden="1" outlineLevel="1" thickBot="1" x14ac:dyDescent="0.3">
      <c r="A213" s="203" t="s">
        <v>120</v>
      </c>
      <c r="B213" s="509"/>
      <c r="C213" s="291">
        <f>(ROUND((D204*E204)/0.3-1,0)*(F204+1)+ROUND((D204*E204)/0.3-1,0)*(G204))*B204</f>
        <v>0</v>
      </c>
      <c r="D213" s="241"/>
      <c r="E213" s="241"/>
      <c r="F213" s="241"/>
      <c r="G213" s="242"/>
      <c r="H213" s="294">
        <f>IF(C204&gt;6,ROUND(SUM(C213:G213)*$B$17*1.2,0),SUM(C213:G213)*$B$17)</f>
        <v>0</v>
      </c>
      <c r="R213" s="29"/>
      <c r="S213" s="29"/>
      <c r="T213" s="29"/>
      <c r="U213" s="29"/>
      <c r="V213" s="29"/>
    </row>
    <row r="214" spans="1:22" ht="15.75" hidden="1" outlineLevel="1" thickBot="1" x14ac:dyDescent="0.3">
      <c r="A214" s="203" t="s">
        <v>121</v>
      </c>
      <c r="B214" s="510"/>
      <c r="C214" s="293">
        <f>IF(B204=0,0,(D204+E204)*2*B204*F204*IF(G204=0,1,G204))</f>
        <v>0</v>
      </c>
      <c r="D214" s="243"/>
      <c r="E214" s="243"/>
      <c r="F214" s="243"/>
      <c r="G214" s="244"/>
      <c r="H214" s="294">
        <f>IF(C204&gt;6,ROUND(SUM(C214:G214)*$B$17*1.2,0),SUM(C214:G214)*$B$17)</f>
        <v>0</v>
      </c>
      <c r="R214" s="29"/>
      <c r="S214" s="29"/>
      <c r="T214" s="29"/>
      <c r="U214" s="29"/>
      <c r="V214" s="29"/>
    </row>
    <row r="215" spans="1:22" ht="15.75" collapsed="1" thickBot="1" x14ac:dyDescent="0.3">
      <c r="A215" s="203" t="s">
        <v>365</v>
      </c>
      <c r="B215" s="236">
        <f>SUMIFS(Simulador!D$85:D$116,Simulador!$A$85:$A$116,'Tabela de preços por Item'!$A215)</f>
        <v>0</v>
      </c>
      <c r="C215" s="236">
        <f>SUMIFS(Simulador!E$85:E$116,Simulador!$A$85:$A$116,'Tabela de preços por Item'!$A215)</f>
        <v>0</v>
      </c>
      <c r="D215" s="236">
        <f>SUMIFS(Simulador!F$85:F$116,Simulador!$A$85:$A$116,'Tabela de preços por Item'!$A215)</f>
        <v>0</v>
      </c>
      <c r="E215" s="236">
        <f>SUMIFS(Simulador!G$85:G$116,Simulador!$A$85:$A$116,'Tabela de preços por Item'!$A215)</f>
        <v>0</v>
      </c>
      <c r="F215" s="236">
        <f>SUMIFS(Simulador!H$85:H$116,Simulador!$A$85:$A$116,'Tabela de preços por Item'!$A215)</f>
        <v>0</v>
      </c>
      <c r="G215" s="236">
        <f>SUMIFS(Simulador!I$85:I$116,Simulador!$A$85:$A$116,'Tabela de preços por Item'!$A215)</f>
        <v>0</v>
      </c>
      <c r="H215" s="237" t="s">
        <v>355</v>
      </c>
    </row>
    <row r="216" spans="1:22" ht="15.75" hidden="1" outlineLevel="1" thickBot="1" x14ac:dyDescent="0.3">
      <c r="A216" s="203" t="s">
        <v>129</v>
      </c>
      <c r="B216" s="508"/>
      <c r="C216" s="288">
        <f>IF(B215=0,0,IF(H215="tubo",(C215+1.5)*2*(ROUND((D215/3)+(E215/3),0)*2)+1+ROUND(((C215/2)*SQRT(D215^2+E215^2)),0)*4,ROUND(((C215/2)*SQRT(D215^2+E215^2)),0)*4))</f>
        <v>0</v>
      </c>
      <c r="D216" s="288">
        <f>IF(B215=0,0,IF($H$17="tubo",D215*4*2,0))</f>
        <v>0</v>
      </c>
      <c r="E216" s="288">
        <f>IF(B215=0,0,IF($H$17="tubo",E215*4*2,0))</f>
        <v>0</v>
      </c>
      <c r="F216" s="238"/>
      <c r="G216" s="290">
        <f>IF(G215=0,0,((G215*E215)+(G215*D215))*2)</f>
        <v>0</v>
      </c>
      <c r="H216" s="294">
        <f>IF(C215&gt;6,ROUND(SUM(C216:G216)*$B$17*1.2,0),SUM(C216:G216)*$B$17)</f>
        <v>0</v>
      </c>
    </row>
    <row r="217" spans="1:22" ht="15.75" hidden="1" outlineLevel="1" thickBot="1" x14ac:dyDescent="0.3">
      <c r="A217" s="203" t="s">
        <v>115</v>
      </c>
      <c r="B217" s="509"/>
      <c r="C217" s="289">
        <f>IF(B215=0,0,IF(H215="tubo",C215*6+15,B215*4+C222*2))</f>
        <v>0</v>
      </c>
      <c r="D217" s="239"/>
      <c r="E217" s="239"/>
      <c r="F217" s="239"/>
      <c r="G217" s="240"/>
      <c r="H217" s="294">
        <f>IF(C215&gt;6,ROUND(SUM(C217:G217)*$B$17*1.2,0),SUM(C217:G217)*$B$17)</f>
        <v>0</v>
      </c>
    </row>
    <row r="218" spans="1:22" ht="15.75" hidden="1" outlineLevel="1" thickBot="1" x14ac:dyDescent="0.3">
      <c r="A218" s="203" t="s">
        <v>119</v>
      </c>
      <c r="B218" s="509"/>
      <c r="C218" s="289">
        <f>IF(B215=0,0,IF(H215="tubo",ROUNDUP(H216/2-1,0),0))</f>
        <v>0</v>
      </c>
      <c r="D218" s="239"/>
      <c r="E218" s="239"/>
      <c r="F218" s="239"/>
      <c r="G218" s="240"/>
      <c r="H218" s="294">
        <f>IF(C215&gt;6,ROUND(SUM(C218:G218)*$B$17*1.2,0),SUM(C218:G218)*$B$17)</f>
        <v>0</v>
      </c>
    </row>
    <row r="219" spans="1:22" ht="15.75" hidden="1" outlineLevel="1" thickBot="1" x14ac:dyDescent="0.3">
      <c r="A219" s="203" t="s">
        <v>114</v>
      </c>
      <c r="B219" s="509"/>
      <c r="C219" s="289">
        <f>IF(B215=0,0,IF(H215="Encaixe",(C215+1.5)*2*(ROUND((D215/3)+(E215/3),0)*2)+1,0))</f>
        <v>0</v>
      </c>
      <c r="D219" s="239"/>
      <c r="E219" s="239"/>
      <c r="F219" s="239"/>
      <c r="G219" s="240"/>
      <c r="H219" s="294">
        <f>IF(C215&gt;6,ROUND(SUM(C219:G219)*$B$17*1.2,0),SUM(C219:G219)*$B$17)</f>
        <v>0</v>
      </c>
    </row>
    <row r="220" spans="1:22" ht="15.75" hidden="1" outlineLevel="1" thickBot="1" x14ac:dyDescent="0.3">
      <c r="A220" s="203" t="s">
        <v>235</v>
      </c>
      <c r="B220" s="509"/>
      <c r="C220" s="239"/>
      <c r="D220" s="289">
        <f>IF(B215=0,0,IF($H$17="encaixe",D215*4*2+1,0))</f>
        <v>0</v>
      </c>
      <c r="E220" s="289">
        <f>IF(B215=0,0,IF($H$17="encaixe",E215*4*2+1,0))</f>
        <v>0</v>
      </c>
      <c r="F220" s="239"/>
      <c r="G220" s="240"/>
      <c r="H220" s="294">
        <f>IF(C215&gt;6,ROUND(SUM(C220:G220)*$B$17*1.2,0),SUM(C220:G220)*$B$17)</f>
        <v>0</v>
      </c>
    </row>
    <row r="221" spans="1:22" ht="15.75" hidden="1" outlineLevel="1" thickBot="1" x14ac:dyDescent="0.3">
      <c r="A221" s="203" t="s">
        <v>88</v>
      </c>
      <c r="B221" s="509"/>
      <c r="C221" s="289">
        <f>IF(B215=0,0,((ROUND((D215/3)+(E215/3),0)*4)))</f>
        <v>0</v>
      </c>
      <c r="D221" s="239"/>
      <c r="E221" s="239"/>
      <c r="F221" s="239"/>
      <c r="G221" s="240"/>
      <c r="H221" s="294">
        <f>IF(C215&gt;6,ROUND(SUM(C221:G221)*$B$17*1.2,0),SUM(C221:G221)*$B$17)</f>
        <v>0</v>
      </c>
    </row>
    <row r="222" spans="1:22" ht="15.75" hidden="1" outlineLevel="1" thickBot="1" x14ac:dyDescent="0.3">
      <c r="A222" s="203" t="s">
        <v>91</v>
      </c>
      <c r="B222" s="509"/>
      <c r="C222" s="291">
        <f>IF(B215=0,0,ROUNDUP(C215/2,0))</f>
        <v>0</v>
      </c>
      <c r="D222" s="241"/>
      <c r="E222" s="241"/>
      <c r="F222" s="241"/>
      <c r="G222" s="242"/>
      <c r="H222" s="294">
        <f>IF(C215&gt;6,ROUND(SUM(C222:G222)*$B$17*1.2,0),SUM(C222:G222)*$B$17)</f>
        <v>0</v>
      </c>
    </row>
    <row r="223" spans="1:22" ht="15.75" hidden="1" outlineLevel="1" thickBot="1" x14ac:dyDescent="0.3">
      <c r="A223" s="203" t="s">
        <v>118</v>
      </c>
      <c r="B223" s="509"/>
      <c r="C223" s="292">
        <f>IF(B215=0,0,IF(C215&lt;=2,0,(C215-2)/0.5))</f>
        <v>0</v>
      </c>
      <c r="D223" s="241"/>
      <c r="E223" s="241"/>
      <c r="F223" s="241"/>
      <c r="G223" s="242"/>
      <c r="H223" s="294">
        <f>IF(C215&gt;6,ROUND(SUM(C223:G223)*$B$17*1.2,0),SUM(C223:G223)*$B$17)</f>
        <v>0</v>
      </c>
    </row>
    <row r="224" spans="1:22" ht="15.75" hidden="1" outlineLevel="1" thickBot="1" x14ac:dyDescent="0.3">
      <c r="A224" s="203" t="s">
        <v>120</v>
      </c>
      <c r="B224" s="509"/>
      <c r="C224" s="291">
        <f>(ROUND((D215*E215)/0.3-1,0)*(F215+1)+ROUND((D215*E215)/0.3-1,0)*(G215))*B215</f>
        <v>0</v>
      </c>
      <c r="D224" s="241"/>
      <c r="E224" s="241"/>
      <c r="F224" s="241"/>
      <c r="G224" s="242"/>
      <c r="H224" s="294">
        <f>IF(C215&gt;6,ROUND(SUM(C224:G224)*$B$17*1.2,0),SUM(C224:G224)*$B$17)</f>
        <v>0</v>
      </c>
    </row>
    <row r="225" spans="1:21" ht="15.75" hidden="1" outlineLevel="1" thickBot="1" x14ac:dyDescent="0.3">
      <c r="A225" s="203" t="s">
        <v>121</v>
      </c>
      <c r="B225" s="510"/>
      <c r="C225" s="293">
        <f>IF(B215=0,0,(D215+E215)*2*B215*F215*IF(G215=0,1,G215))</f>
        <v>0</v>
      </c>
      <c r="D225" s="243"/>
      <c r="E225" s="243"/>
      <c r="F225" s="243"/>
      <c r="G225" s="244"/>
      <c r="H225" s="294">
        <f>IF(C215&gt;6,ROUND(SUM(C225:G225)*$B$17*1.2,0),SUM(C225:G225)*$B$17)</f>
        <v>0</v>
      </c>
    </row>
    <row r="226" spans="1:21" ht="15.75" collapsed="1" thickBot="1" x14ac:dyDescent="0.3">
      <c r="A226" s="203" t="s">
        <v>366</v>
      </c>
      <c r="B226" s="236">
        <f>SUMIFS(Simulador!D$85:D$116,Simulador!$A$85:$A$116,'Tabela de preços por Item'!$A226)</f>
        <v>0</v>
      </c>
      <c r="C226" s="236">
        <f>SUMIFS(Simulador!E$85:E$116,Simulador!$A$85:$A$116,'Tabela de preços por Item'!$A226)</f>
        <v>0</v>
      </c>
      <c r="D226" s="236">
        <f>SUMIFS(Simulador!F$85:F$116,Simulador!$A$85:$A$116,'Tabela de preços por Item'!$A226)</f>
        <v>0</v>
      </c>
      <c r="E226" s="236">
        <f>SUMIFS(Simulador!G$85:G$116,Simulador!$A$85:$A$116,'Tabela de preços por Item'!$A226)</f>
        <v>0</v>
      </c>
      <c r="F226" s="236">
        <f>SUMIFS(Simulador!H$85:H$116,Simulador!$A$85:$A$116,'Tabela de preços por Item'!$A226)</f>
        <v>0</v>
      </c>
      <c r="G226" s="236">
        <f>SUMIFS(Simulador!I$85:I$116,Simulador!$A$85:$A$116,'Tabela de preços por Item'!$A226)</f>
        <v>0</v>
      </c>
      <c r="H226" s="237" t="s">
        <v>355</v>
      </c>
      <c r="N226" s="140"/>
      <c r="O226" s="140"/>
      <c r="P226" s="140"/>
      <c r="Q226" s="140"/>
      <c r="R226" s="140"/>
      <c r="S226" s="140"/>
      <c r="T226" s="140"/>
      <c r="U226" s="140"/>
    </row>
    <row r="227" spans="1:21" ht="15.75" hidden="1" outlineLevel="1" thickBot="1" x14ac:dyDescent="0.3">
      <c r="A227" s="203" t="s">
        <v>129</v>
      </c>
      <c r="B227" s="508"/>
      <c r="C227" s="288">
        <f>IF(B226=0,0,IF(H226="tubo",(C226+1.5)*2*(ROUND((D226/3)+(E226/3),0)*2)+1+ROUND(((C226/2)*SQRT(D226^2+E226^2)),0)*4,ROUND(((C226/2)*SQRT(D226^2+E226^2)),0)*4))</f>
        <v>0</v>
      </c>
      <c r="D227" s="288">
        <f>IF(B226=0,0,IF($H$17="tubo",D226*4*2,0))</f>
        <v>0</v>
      </c>
      <c r="E227" s="288">
        <f>IF(B226=0,0,IF($H$17="tubo",E226*4*2,0))</f>
        <v>0</v>
      </c>
      <c r="F227" s="238"/>
      <c r="G227" s="290">
        <f>IF(G226=0,0,((G226*E226)+(G226*D226))*2)</f>
        <v>0</v>
      </c>
      <c r="H227" s="294">
        <f>IF(C226&gt;6,ROUND(SUM(C227:G227)*$B$17*1.2,0),SUM(C227:G227)*$B$17)</f>
        <v>0</v>
      </c>
      <c r="N227" s="140"/>
      <c r="O227" s="140"/>
      <c r="P227" s="140"/>
      <c r="Q227" s="140"/>
      <c r="R227" s="140"/>
      <c r="S227" s="140"/>
      <c r="T227" s="140"/>
      <c r="U227" s="140"/>
    </row>
    <row r="228" spans="1:21" ht="15.75" hidden="1" outlineLevel="1" thickBot="1" x14ac:dyDescent="0.3">
      <c r="A228" s="203" t="s">
        <v>115</v>
      </c>
      <c r="B228" s="509"/>
      <c r="C228" s="289">
        <f>IF(B226=0,0,IF(H226="tubo",C226*6+15,B226*4+C233*2))</f>
        <v>0</v>
      </c>
      <c r="D228" s="239"/>
      <c r="E228" s="239"/>
      <c r="F228" s="239"/>
      <c r="G228" s="240"/>
      <c r="H228" s="294">
        <f>IF(C226&gt;6,ROUND(SUM(C228:G228)*$B$17*1.2,0),SUM(C228:G228)*$B$17)</f>
        <v>0</v>
      </c>
      <c r="N228" s="140"/>
      <c r="O228" s="140"/>
      <c r="P228" s="140"/>
      <c r="Q228" s="140"/>
      <c r="R228" s="140"/>
      <c r="S228" s="140"/>
      <c r="T228" s="140"/>
      <c r="U228" s="140"/>
    </row>
    <row r="229" spans="1:21" ht="15.75" hidden="1" outlineLevel="1" thickBot="1" x14ac:dyDescent="0.3">
      <c r="A229" s="203" t="s">
        <v>119</v>
      </c>
      <c r="B229" s="509"/>
      <c r="C229" s="289">
        <f>IF(B226=0,0,IF(H226="tubo",ROUNDUP(H227/2-1,0),0))</f>
        <v>0</v>
      </c>
      <c r="D229" s="239"/>
      <c r="E229" s="239"/>
      <c r="F229" s="239"/>
      <c r="G229" s="240"/>
      <c r="H229" s="294">
        <f>IF(C226&gt;6,ROUND(SUM(C229:G229)*$B$17*1.2,0),SUM(C229:G229)*$B$17)</f>
        <v>0</v>
      </c>
      <c r="N229" s="140"/>
      <c r="O229" s="140"/>
      <c r="P229" s="140"/>
      <c r="Q229" s="140"/>
      <c r="R229" s="140"/>
      <c r="S229" s="140"/>
      <c r="T229" s="140"/>
      <c r="U229" s="140"/>
    </row>
    <row r="230" spans="1:21" ht="15.75" hidden="1" outlineLevel="1" thickBot="1" x14ac:dyDescent="0.3">
      <c r="A230" s="203" t="s">
        <v>114</v>
      </c>
      <c r="B230" s="509"/>
      <c r="C230" s="289">
        <f>IF(B226=0,0,IF(H226="Encaixe",(C226+1.5)*2*(ROUND((D226/3)+(E226/3),0)*2)+1,0))</f>
        <v>0</v>
      </c>
      <c r="D230" s="239"/>
      <c r="E230" s="239"/>
      <c r="F230" s="239"/>
      <c r="G230" s="240"/>
      <c r="H230" s="294">
        <f>IF(C226&gt;6,ROUND(SUM(C230:G230)*$B$17*1.2,0),SUM(C230:G230)*$B$17)</f>
        <v>0</v>
      </c>
      <c r="N230" s="140"/>
      <c r="O230" s="140"/>
      <c r="P230" s="140"/>
      <c r="Q230" s="140"/>
      <c r="R230" s="140"/>
      <c r="S230" s="140"/>
      <c r="T230" s="140"/>
      <c r="U230" s="140"/>
    </row>
    <row r="231" spans="1:21" ht="15.75" hidden="1" outlineLevel="1" thickBot="1" x14ac:dyDescent="0.3">
      <c r="A231" s="203" t="s">
        <v>235</v>
      </c>
      <c r="B231" s="509"/>
      <c r="C231" s="239"/>
      <c r="D231" s="289">
        <f>IF(B226=0,0,IF($H$17="encaixe",D226*4*2+1,0))</f>
        <v>0</v>
      </c>
      <c r="E231" s="289">
        <f>IF(B226=0,0,IF($H$17="encaixe",E226*4*2+1,0))</f>
        <v>0</v>
      </c>
      <c r="F231" s="239"/>
      <c r="G231" s="240"/>
      <c r="H231" s="294">
        <f>IF(C226&gt;6,ROUND(SUM(C231:G231)*$B$17*1.2,0),SUM(C231:G231)*$B$17)</f>
        <v>0</v>
      </c>
      <c r="N231" s="140"/>
      <c r="O231" s="140"/>
      <c r="P231" s="140"/>
      <c r="Q231" s="140"/>
      <c r="R231" s="140"/>
      <c r="S231" s="140"/>
      <c r="T231" s="140"/>
      <c r="U231" s="140"/>
    </row>
    <row r="232" spans="1:21" ht="15.75" hidden="1" outlineLevel="1" thickBot="1" x14ac:dyDescent="0.3">
      <c r="A232" s="203" t="s">
        <v>88</v>
      </c>
      <c r="B232" s="509"/>
      <c r="C232" s="289">
        <f>IF(B226=0,0,((ROUND((D226/3)+(E226/3),0)*4)))</f>
        <v>0</v>
      </c>
      <c r="D232" s="239"/>
      <c r="E232" s="239"/>
      <c r="F232" s="239"/>
      <c r="G232" s="240"/>
      <c r="H232" s="294">
        <f>IF(C226&gt;6,ROUND(SUM(C232:G232)*$B$17*1.2,0),SUM(C232:G232)*$B$17)</f>
        <v>0</v>
      </c>
      <c r="N232" s="140"/>
      <c r="O232" s="140"/>
      <c r="P232" s="140"/>
      <c r="Q232" s="140"/>
      <c r="R232" s="140"/>
      <c r="S232" s="140"/>
      <c r="T232" s="140"/>
      <c r="U232" s="140"/>
    </row>
    <row r="233" spans="1:21" ht="15.75" hidden="1" outlineLevel="1" thickBot="1" x14ac:dyDescent="0.3">
      <c r="A233" s="203" t="s">
        <v>91</v>
      </c>
      <c r="B233" s="509"/>
      <c r="C233" s="291">
        <f>IF(B226=0,0,ROUNDUP(C226/2,0))</f>
        <v>0</v>
      </c>
      <c r="D233" s="241"/>
      <c r="E233" s="241"/>
      <c r="F233" s="241"/>
      <c r="G233" s="242"/>
      <c r="H233" s="294">
        <f>IF(C226&gt;6,ROUND(SUM(C233:G233)*$B$17*1.2,0),SUM(C233:G233)*$B$17)</f>
        <v>0</v>
      </c>
      <c r="N233" s="140"/>
      <c r="O233" s="140"/>
      <c r="P233" s="140"/>
      <c r="Q233" s="140"/>
      <c r="R233" s="140"/>
      <c r="S233" s="140"/>
      <c r="T233" s="140"/>
      <c r="U233" s="140"/>
    </row>
    <row r="234" spans="1:21" ht="15.75" hidden="1" outlineLevel="1" thickBot="1" x14ac:dyDescent="0.3">
      <c r="A234" s="203" t="s">
        <v>118</v>
      </c>
      <c r="B234" s="509"/>
      <c r="C234" s="292">
        <f>IF(B226=0,0,IF(C226&lt;=2,0,(C226-2)/0.5))</f>
        <v>0</v>
      </c>
      <c r="D234" s="241"/>
      <c r="E234" s="241"/>
      <c r="F234" s="241"/>
      <c r="G234" s="242"/>
      <c r="H234" s="294">
        <f>IF(C226&gt;6,ROUND(SUM(C234:G234)*$B$17*1.2,0),SUM(C234:G234)*$B$17)</f>
        <v>0</v>
      </c>
      <c r="N234" s="140"/>
      <c r="O234" s="140"/>
      <c r="P234" s="140"/>
      <c r="Q234" s="140"/>
      <c r="R234" s="140"/>
      <c r="S234" s="140"/>
      <c r="T234" s="140"/>
      <c r="U234" s="140"/>
    </row>
    <row r="235" spans="1:21" ht="15.75" hidden="1" outlineLevel="1" thickBot="1" x14ac:dyDescent="0.3">
      <c r="A235" s="203" t="s">
        <v>120</v>
      </c>
      <c r="B235" s="509"/>
      <c r="C235" s="291">
        <f>(ROUND((D226*E226)/0.3-1,0)*(F226+1)+ROUND((D226*E226)/0.3-1,0)*(G226))*B226</f>
        <v>0</v>
      </c>
      <c r="D235" s="241"/>
      <c r="E235" s="241"/>
      <c r="F235" s="241"/>
      <c r="G235" s="242"/>
      <c r="H235" s="294">
        <f>IF(C226&gt;6,ROUND(SUM(C235:G235)*$B$17*1.2,0),SUM(C235:G235)*$B$17)</f>
        <v>0</v>
      </c>
      <c r="N235" s="140"/>
      <c r="O235" s="140"/>
      <c r="P235" s="140"/>
      <c r="Q235" s="140"/>
      <c r="R235" s="140"/>
      <c r="S235" s="140"/>
      <c r="T235" s="140"/>
      <c r="U235" s="140"/>
    </row>
    <row r="236" spans="1:21" ht="15.75" hidden="1" outlineLevel="1" thickBot="1" x14ac:dyDescent="0.3">
      <c r="A236" s="203" t="s">
        <v>121</v>
      </c>
      <c r="B236" s="510"/>
      <c r="C236" s="293">
        <f>IF(B226=0,0,(D226+E226)*2*B226*F226*IF(G226=0,1,G226))</f>
        <v>0</v>
      </c>
      <c r="D236" s="243"/>
      <c r="E236" s="243"/>
      <c r="F236" s="243"/>
      <c r="G236" s="244"/>
      <c r="H236" s="294">
        <f>IF(C226&gt;6,ROUND(SUM(C236:G236)*$B$17*1.2,0),SUM(C236:G236)*$B$17)</f>
        <v>0</v>
      </c>
      <c r="N236" s="140"/>
      <c r="O236" s="140"/>
      <c r="P236" s="140"/>
      <c r="Q236" s="140"/>
      <c r="R236" s="140"/>
      <c r="S236" s="140"/>
      <c r="T236" s="140"/>
      <c r="U236" s="140"/>
    </row>
    <row r="237" spans="1:21" ht="15.75" collapsed="1" thickBot="1" x14ac:dyDescent="0.3">
      <c r="A237" s="203" t="s">
        <v>326</v>
      </c>
      <c r="B237" s="236">
        <f>SUMIFS(Simulador!D$85:D$116,Simulador!$A$85:$A$116,'Tabela de preços por Item'!$A237)</f>
        <v>0</v>
      </c>
      <c r="C237" s="236">
        <f>SUMIFS(Simulador!E$85:E$116,Simulador!$A$85:$A$116,'Tabela de preços por Item'!$A237)</f>
        <v>0</v>
      </c>
      <c r="D237" s="236">
        <f>SUMIFS(Simulador!F$85:F$116,Simulador!$A$85:$A$116,'Tabela de preços por Item'!$A237)</f>
        <v>0</v>
      </c>
      <c r="E237" s="236">
        <f>SUMIFS(Simulador!G$85:G$116,Simulador!$A$85:$A$116,'Tabela de preços por Item'!$A237)</f>
        <v>0.3</v>
      </c>
      <c r="F237" s="236">
        <f>SUMIFS(Simulador!H$85:H$116,Simulador!$A$85:$A$116,'Tabela de preços por Item'!$A237)</f>
        <v>0</v>
      </c>
      <c r="G237" s="236">
        <f>SUMIFS(Simulador!I$85:I$116,Simulador!$A$85:$A$116,'Tabela de preços por Item'!$A237)</f>
        <v>3</v>
      </c>
      <c r="H237" s="237" t="s">
        <v>355</v>
      </c>
      <c r="N237" s="140"/>
      <c r="O237" s="140"/>
      <c r="P237" s="140"/>
      <c r="Q237" s="140"/>
      <c r="R237" s="140"/>
      <c r="S237" s="140"/>
      <c r="T237" s="140"/>
      <c r="U237" s="140"/>
    </row>
    <row r="238" spans="1:21" ht="15.75" hidden="1" outlineLevel="1" thickBot="1" x14ac:dyDescent="0.3">
      <c r="A238" s="203" t="s">
        <v>129</v>
      </c>
      <c r="B238" s="508"/>
      <c r="C238" s="288">
        <f>IF(B237=0,0,IF(H237="tubo",(C237+1.5)*2*(ROUND((D237/3)+(E237/3),0)*2)+1+ROUND(((C237/2)*SQRT(D237^2+E237^2)),0)*4,ROUND(((C237/2)*SQRT(D237^2+E237^2)),0)*4))</f>
        <v>0</v>
      </c>
      <c r="D238" s="288">
        <f>IF(B237=0,0,IF($H$17="tubo",D237*4*2,0))</f>
        <v>0</v>
      </c>
      <c r="E238" s="288">
        <f>IF(B237=0,0,IF($H$17="tubo",E237*4*2,0))</f>
        <v>0</v>
      </c>
      <c r="F238" s="238"/>
      <c r="G238" s="290">
        <f>IF(G237=0,0,((G237*E237)+(G237*D237))*2)</f>
        <v>1.7999999999999998</v>
      </c>
      <c r="H238" s="294">
        <f>IF(C237&gt;6,ROUND(SUM(C238:G238)*$B$17*1.2,0),SUM(C238:G238)*$B$17)</f>
        <v>3.5999999999999996</v>
      </c>
      <c r="N238" s="140"/>
      <c r="O238" s="140"/>
      <c r="P238" s="140"/>
      <c r="Q238" s="140"/>
      <c r="R238" s="140"/>
      <c r="S238" s="140"/>
      <c r="T238" s="140"/>
      <c r="U238" s="140"/>
    </row>
    <row r="239" spans="1:21" ht="15.75" hidden="1" outlineLevel="1" thickBot="1" x14ac:dyDescent="0.3">
      <c r="A239" s="203" t="s">
        <v>115</v>
      </c>
      <c r="B239" s="509"/>
      <c r="C239" s="289">
        <f>IF(B237=0,0,IF(H237="tubo",C237*6+15,B237*4+C244*2))</f>
        <v>0</v>
      </c>
      <c r="D239" s="239"/>
      <c r="E239" s="239"/>
      <c r="F239" s="239"/>
      <c r="G239" s="240"/>
      <c r="H239" s="294">
        <f>IF(C237&gt;6,ROUND(SUM(C239:G239)*$B$17*1.2,0),SUM(C239:G239)*$B$17)</f>
        <v>0</v>
      </c>
      <c r="N239" s="140"/>
      <c r="O239" s="140"/>
      <c r="P239" s="140"/>
      <c r="Q239" s="140"/>
      <c r="R239" s="140"/>
      <c r="S239" s="140"/>
      <c r="T239" s="140"/>
      <c r="U239" s="140"/>
    </row>
    <row r="240" spans="1:21" ht="15.75" hidden="1" outlineLevel="1" thickBot="1" x14ac:dyDescent="0.3">
      <c r="A240" s="203" t="s">
        <v>119</v>
      </c>
      <c r="B240" s="509"/>
      <c r="C240" s="289">
        <f>IF(B237=0,0,IF(H237="tubo",ROUNDUP(H238/2-1,0),0))</f>
        <v>0</v>
      </c>
      <c r="D240" s="239"/>
      <c r="E240" s="239"/>
      <c r="F240" s="239"/>
      <c r="G240" s="240"/>
      <c r="H240" s="294">
        <f>IF(C237&gt;6,ROUND(SUM(C240:G240)*$B$17*1.2,0),SUM(C240:G240)*$B$17)</f>
        <v>0</v>
      </c>
      <c r="N240" s="140"/>
      <c r="O240" s="140"/>
      <c r="P240" s="140"/>
      <c r="Q240" s="140"/>
      <c r="R240" s="140"/>
      <c r="S240" s="140"/>
      <c r="T240" s="140"/>
      <c r="U240" s="140"/>
    </row>
    <row r="241" spans="1:21" ht="15.75" hidden="1" outlineLevel="1" thickBot="1" x14ac:dyDescent="0.3">
      <c r="A241" s="203" t="s">
        <v>114</v>
      </c>
      <c r="B241" s="509"/>
      <c r="C241" s="289">
        <f>IF(B237=0,0,IF(H237="Encaixe",(C237+1.5)*2*(ROUND((D237/3)+(E237/3),0)*2)+1,0))</f>
        <v>0</v>
      </c>
      <c r="D241" s="239"/>
      <c r="E241" s="239"/>
      <c r="F241" s="239"/>
      <c r="G241" s="240"/>
      <c r="H241" s="294">
        <f>IF(C237&gt;6,ROUND(SUM(C241:G241)*$B$17*1.2,0),SUM(C241:G241)*$B$17)</f>
        <v>0</v>
      </c>
      <c r="N241" s="140"/>
      <c r="O241" s="140"/>
      <c r="P241" s="140"/>
      <c r="Q241" s="140"/>
      <c r="R241" s="140"/>
      <c r="S241" s="140"/>
      <c r="T241" s="140"/>
      <c r="U241" s="140"/>
    </row>
    <row r="242" spans="1:21" ht="15.75" hidden="1" outlineLevel="1" thickBot="1" x14ac:dyDescent="0.3">
      <c r="A242" s="203" t="s">
        <v>235</v>
      </c>
      <c r="B242" s="509"/>
      <c r="C242" s="239"/>
      <c r="D242" s="289">
        <f>IF(B237=0,0,IF($H$17="encaixe",D237*4*2+1,0))</f>
        <v>0</v>
      </c>
      <c r="E242" s="289">
        <f>IF(B237=0,0,IF($H$17="encaixe",E237*4*2+1,0))</f>
        <v>0</v>
      </c>
      <c r="F242" s="239"/>
      <c r="G242" s="240"/>
      <c r="H242" s="294">
        <f>IF(C237&gt;6,ROUND(SUM(C242:G242)*$B$17*1.2,0),SUM(C242:G242)*$B$17)</f>
        <v>0</v>
      </c>
      <c r="N242" s="140"/>
      <c r="O242" s="140"/>
      <c r="P242" s="140"/>
      <c r="Q242" s="140"/>
      <c r="R242" s="140"/>
      <c r="S242" s="140"/>
      <c r="T242" s="140"/>
      <c r="U242" s="140"/>
    </row>
    <row r="243" spans="1:21" ht="15.75" hidden="1" outlineLevel="1" thickBot="1" x14ac:dyDescent="0.3">
      <c r="A243" s="203" t="s">
        <v>88</v>
      </c>
      <c r="B243" s="509"/>
      <c r="C243" s="289">
        <f>IF(B237=0,0,((ROUND((D237/3)+(E237/3),0)*4)))</f>
        <v>0</v>
      </c>
      <c r="D243" s="239"/>
      <c r="E243" s="239"/>
      <c r="F243" s="239"/>
      <c r="G243" s="240"/>
      <c r="H243" s="294">
        <f>IF(C237&gt;6,ROUND(SUM(C243:G243)*$B$17*1.2,0),SUM(C243:G243)*$B$17)</f>
        <v>0</v>
      </c>
      <c r="N243" s="140"/>
      <c r="O243" s="140"/>
      <c r="P243" s="140"/>
      <c r="Q243" s="140"/>
      <c r="R243" s="140"/>
      <c r="S243" s="140"/>
      <c r="T243" s="140"/>
      <c r="U243" s="140"/>
    </row>
    <row r="244" spans="1:21" ht="15.75" hidden="1" outlineLevel="1" thickBot="1" x14ac:dyDescent="0.3">
      <c r="A244" s="203" t="s">
        <v>91</v>
      </c>
      <c r="B244" s="509"/>
      <c r="C244" s="291">
        <f>IF(B237=0,0,ROUNDUP(C237/2,0))</f>
        <v>0</v>
      </c>
      <c r="D244" s="241"/>
      <c r="E244" s="241"/>
      <c r="F244" s="241"/>
      <c r="G244" s="242"/>
      <c r="H244" s="294">
        <f>IF(C237&gt;6,ROUND(SUM(C244:G244)*$B$17*1.2,0),SUM(C244:G244)*$B$17)</f>
        <v>0</v>
      </c>
      <c r="N244" s="140"/>
      <c r="O244" s="140"/>
      <c r="P244" s="140"/>
      <c r="Q244" s="140"/>
      <c r="R244" s="140"/>
      <c r="S244" s="140"/>
      <c r="T244" s="140"/>
      <c r="U244" s="140"/>
    </row>
    <row r="245" spans="1:21" ht="15.75" hidden="1" outlineLevel="1" thickBot="1" x14ac:dyDescent="0.3">
      <c r="A245" s="203" t="s">
        <v>118</v>
      </c>
      <c r="B245" s="509"/>
      <c r="C245" s="292">
        <f>IF(B237=0,0,IF(C237&lt;=2,0,(C237-2)/0.5))</f>
        <v>0</v>
      </c>
      <c r="D245" s="241"/>
      <c r="E245" s="241"/>
      <c r="F245" s="241"/>
      <c r="G245" s="242"/>
      <c r="H245" s="294">
        <f>IF(C237&gt;6,ROUND(SUM(C245:G245)*$B$17*1.2,0),SUM(C245:G245)*$B$17)</f>
        <v>0</v>
      </c>
      <c r="N245" s="140"/>
      <c r="O245" s="140"/>
      <c r="P245" s="140"/>
      <c r="Q245" s="140"/>
      <c r="R245" s="140"/>
      <c r="S245" s="140"/>
      <c r="T245" s="140"/>
      <c r="U245" s="140"/>
    </row>
    <row r="246" spans="1:21" ht="15.75" hidden="1" outlineLevel="1" thickBot="1" x14ac:dyDescent="0.3">
      <c r="A246" s="203" t="s">
        <v>120</v>
      </c>
      <c r="B246" s="509"/>
      <c r="C246" s="291">
        <f>(ROUND((D237*E237)/0.3-1,0)*(F237+1)+ROUND((D237*E237)/0.3-1,0)*(G237))*B237</f>
        <v>0</v>
      </c>
      <c r="D246" s="241"/>
      <c r="E246" s="241"/>
      <c r="F246" s="241"/>
      <c r="G246" s="242"/>
      <c r="H246" s="294">
        <f>IF(C237&gt;6,ROUND(SUM(C246:G246)*$B$17*1.2,0),SUM(C246:G246)*$B$17)</f>
        <v>0</v>
      </c>
      <c r="N246" s="140"/>
      <c r="O246" s="140"/>
      <c r="P246" s="140"/>
      <c r="Q246" s="140"/>
      <c r="R246" s="140"/>
      <c r="S246" s="140"/>
      <c r="T246" s="140"/>
      <c r="U246" s="140"/>
    </row>
    <row r="247" spans="1:21" ht="15.75" hidden="1" outlineLevel="1" thickBot="1" x14ac:dyDescent="0.3">
      <c r="A247" s="203" t="s">
        <v>121</v>
      </c>
      <c r="B247" s="510"/>
      <c r="C247" s="293">
        <f>IF(B237=0,0,(D237+E237)*2*B237*F237*IF(G237=0,1,G237))</f>
        <v>0</v>
      </c>
      <c r="D247" s="243"/>
      <c r="E247" s="243"/>
      <c r="F247" s="243"/>
      <c r="G247" s="244"/>
      <c r="H247" s="294">
        <f>IF(C237&gt;6,ROUND(SUM(C247:G247)*$B$17*1.2,0),SUM(C247:G247)*$B$17)</f>
        <v>0</v>
      </c>
      <c r="N247" s="140"/>
      <c r="O247" s="140"/>
      <c r="P247" s="140"/>
      <c r="Q247" s="140"/>
      <c r="R247" s="140"/>
      <c r="S247" s="140"/>
      <c r="T247" s="140"/>
      <c r="U247" s="140"/>
    </row>
    <row r="248" spans="1:21" ht="15.75" collapsed="1" thickBot="1" x14ac:dyDescent="0.3">
      <c r="A248" s="203" t="s">
        <v>327</v>
      </c>
      <c r="B248" s="236">
        <f>SUMIFS(Simulador!D$85:D$116,Simulador!$A$85:$A$116,'Tabela de preços por Item'!$A248)</f>
        <v>0</v>
      </c>
      <c r="C248" s="236">
        <f>SUMIFS(Simulador!E$85:E$116,Simulador!$A$85:$A$116,'Tabela de preços por Item'!$A248)</f>
        <v>0</v>
      </c>
      <c r="D248" s="236">
        <f>SUMIFS(Simulador!F$85:F$116,Simulador!$A$85:$A$116,'Tabela de preços por Item'!$A248)</f>
        <v>0</v>
      </c>
      <c r="E248" s="236">
        <f>SUMIFS(Simulador!G$85:G$116,Simulador!$A$85:$A$116,'Tabela de preços por Item'!$A248)</f>
        <v>0.3</v>
      </c>
      <c r="F248" s="236">
        <f>SUMIFS(Simulador!H$85:H$116,Simulador!$A$85:$A$116,'Tabela de preços por Item'!$A248)</f>
        <v>0</v>
      </c>
      <c r="G248" s="236">
        <f>SUMIFS(Simulador!I$85:I$116,Simulador!$A$85:$A$116,'Tabela de preços por Item'!$A248)</f>
        <v>0</v>
      </c>
      <c r="H248" s="237" t="s">
        <v>355</v>
      </c>
      <c r="N248" s="140"/>
      <c r="O248" s="140"/>
      <c r="P248" s="140"/>
      <c r="Q248" s="140"/>
      <c r="R248" s="140"/>
      <c r="S248" s="140"/>
      <c r="T248" s="140"/>
      <c r="U248" s="140"/>
    </row>
    <row r="249" spans="1:21" ht="15.75" hidden="1" outlineLevel="1" thickBot="1" x14ac:dyDescent="0.3">
      <c r="A249" s="203" t="s">
        <v>129</v>
      </c>
      <c r="B249" s="508"/>
      <c r="C249" s="288">
        <f>IF(B248=0,0,IF(H248="tubo",(C248+1.5)*2*(ROUND((D248/3)+(E248/3),0)*2)+1+ROUND(((C248/2)*SQRT(D248^2+E248^2)),0)*4,ROUND(((C248/2)*SQRT(D248^2+E248^2)),0)*4))</f>
        <v>0</v>
      </c>
      <c r="D249" s="288">
        <f>IF(B248=0,0,IF($H$17="tubo",D248*4*2,0))</f>
        <v>0</v>
      </c>
      <c r="E249" s="288">
        <f>IF(B248=0,0,IF($H$17="tubo",E248*4*2,0))</f>
        <v>0</v>
      </c>
      <c r="F249" s="238"/>
      <c r="G249" s="290">
        <f>IF(G248=0,0,((G248*E248)+(G248*D248))*2)</f>
        <v>0</v>
      </c>
      <c r="H249" s="294">
        <f>IF(C248&gt;6,ROUND(SUM(C249:G249)*$B$17*1.2,0),SUM(C249:G249)*$B$17)</f>
        <v>0</v>
      </c>
      <c r="N249" s="140"/>
      <c r="O249" s="140"/>
      <c r="P249" s="140"/>
      <c r="Q249" s="140"/>
      <c r="R249" s="140"/>
      <c r="S249" s="140"/>
      <c r="T249" s="140"/>
      <c r="U249" s="140"/>
    </row>
    <row r="250" spans="1:21" ht="15.75" hidden="1" outlineLevel="1" thickBot="1" x14ac:dyDescent="0.3">
      <c r="A250" s="203" t="s">
        <v>115</v>
      </c>
      <c r="B250" s="509"/>
      <c r="C250" s="289">
        <f>IF(B248=0,0,IF(H248="tubo",C248*6+15,B248*4+C255*2))</f>
        <v>0</v>
      </c>
      <c r="D250" s="239"/>
      <c r="E250" s="239"/>
      <c r="F250" s="239"/>
      <c r="G250" s="240"/>
      <c r="H250" s="294">
        <f>IF(C248&gt;6,ROUND(SUM(C250:G250)*$B$17*1.2,0),SUM(C250:G250)*$B$17)</f>
        <v>0</v>
      </c>
      <c r="N250" s="140"/>
      <c r="O250" s="140"/>
      <c r="P250" s="140"/>
      <c r="Q250" s="140"/>
      <c r="R250" s="140"/>
      <c r="S250" s="140"/>
      <c r="T250" s="140"/>
      <c r="U250" s="140"/>
    </row>
    <row r="251" spans="1:21" ht="15.75" hidden="1" outlineLevel="1" thickBot="1" x14ac:dyDescent="0.3">
      <c r="A251" s="203" t="s">
        <v>119</v>
      </c>
      <c r="B251" s="509"/>
      <c r="C251" s="289">
        <f>IF(B248=0,0,IF(H248="tubo",ROUNDUP(H249/2-1,0),0))</f>
        <v>0</v>
      </c>
      <c r="D251" s="239"/>
      <c r="E251" s="239"/>
      <c r="F251" s="239"/>
      <c r="G251" s="240"/>
      <c r="H251" s="294">
        <f>IF(C248&gt;6,ROUND(SUM(C251:G251)*$B$17*1.2,0),SUM(C251:G251)*$B$17)</f>
        <v>0</v>
      </c>
      <c r="N251" s="140"/>
      <c r="O251" s="140"/>
      <c r="P251" s="140"/>
      <c r="Q251" s="140"/>
      <c r="R251" s="140"/>
      <c r="S251" s="140"/>
      <c r="T251" s="140"/>
      <c r="U251" s="140"/>
    </row>
    <row r="252" spans="1:21" ht="15.75" hidden="1" outlineLevel="1" thickBot="1" x14ac:dyDescent="0.3">
      <c r="A252" s="203" t="s">
        <v>114</v>
      </c>
      <c r="B252" s="509"/>
      <c r="C252" s="289">
        <f>IF(B248=0,0,IF(H248="Encaixe",(C248+1.5)*2*(ROUND((D248/3)+(E248/3),0)*2)+1,0))</f>
        <v>0</v>
      </c>
      <c r="D252" s="239"/>
      <c r="E252" s="239"/>
      <c r="F252" s="239"/>
      <c r="G252" s="240"/>
      <c r="H252" s="294">
        <f>IF(C248&gt;6,ROUND(SUM(C252:G252)*$B$17*1.2,0),SUM(C252:G252)*$B$17)</f>
        <v>0</v>
      </c>
      <c r="N252" s="140"/>
      <c r="O252" s="140"/>
      <c r="P252" s="140"/>
      <c r="Q252" s="140"/>
      <c r="R252" s="140"/>
      <c r="S252" s="140"/>
      <c r="T252" s="140"/>
      <c r="U252" s="140"/>
    </row>
    <row r="253" spans="1:21" ht="15.75" hidden="1" outlineLevel="1" thickBot="1" x14ac:dyDescent="0.3">
      <c r="A253" s="203" t="s">
        <v>235</v>
      </c>
      <c r="B253" s="509"/>
      <c r="C253" s="239"/>
      <c r="D253" s="289">
        <f>IF(B248=0,0,IF($H$17="encaixe",D248*4*2+1,0))</f>
        <v>0</v>
      </c>
      <c r="E253" s="289">
        <f>IF(B248=0,0,IF($H$17="encaixe",E248*4*2+1,0))</f>
        <v>0</v>
      </c>
      <c r="F253" s="239"/>
      <c r="G253" s="240"/>
      <c r="H253" s="294">
        <f>IF(C248&gt;6,ROUND(SUM(C253:G253)*$B$17*1.2,0),SUM(C253:G253)*$B$17)</f>
        <v>0</v>
      </c>
      <c r="N253" s="140"/>
      <c r="O253" s="140"/>
      <c r="P253" s="140"/>
      <c r="Q253" s="140"/>
      <c r="R253" s="140"/>
      <c r="S253" s="140"/>
      <c r="T253" s="140"/>
      <c r="U253" s="140"/>
    </row>
    <row r="254" spans="1:21" ht="15.75" hidden="1" outlineLevel="1" thickBot="1" x14ac:dyDescent="0.3">
      <c r="A254" s="203" t="s">
        <v>88</v>
      </c>
      <c r="B254" s="509"/>
      <c r="C254" s="289">
        <f>IF(B248=0,0,((ROUND((D248/3)+(E248/3),0)*4)))</f>
        <v>0</v>
      </c>
      <c r="D254" s="239"/>
      <c r="E254" s="239"/>
      <c r="F254" s="239"/>
      <c r="G254" s="240"/>
      <c r="H254" s="294">
        <f>IF(C248&gt;6,ROUND(SUM(C254:G254)*$B$17*1.2,0),SUM(C254:G254)*$B$17)</f>
        <v>0</v>
      </c>
      <c r="N254" s="140"/>
      <c r="O254" s="140"/>
      <c r="P254" s="140"/>
      <c r="Q254" s="140"/>
      <c r="R254" s="140"/>
      <c r="S254" s="140"/>
      <c r="T254" s="140"/>
      <c r="U254" s="140"/>
    </row>
    <row r="255" spans="1:21" ht="15.75" hidden="1" outlineLevel="1" thickBot="1" x14ac:dyDescent="0.3">
      <c r="A255" s="203" t="s">
        <v>91</v>
      </c>
      <c r="B255" s="509"/>
      <c r="C255" s="291">
        <f>IF(B248=0,0,ROUNDUP(C248/2,0))</f>
        <v>0</v>
      </c>
      <c r="D255" s="241"/>
      <c r="E255" s="241"/>
      <c r="F255" s="241"/>
      <c r="G255" s="242"/>
      <c r="H255" s="294">
        <f>IF(C248&gt;6,ROUND(SUM(C255:G255)*$B$17*1.2,0),SUM(C255:G255)*$B$17)</f>
        <v>0</v>
      </c>
      <c r="N255" s="140"/>
      <c r="O255" s="140"/>
      <c r="P255" s="140"/>
      <c r="Q255" s="140"/>
      <c r="R255" s="140"/>
      <c r="S255" s="140"/>
      <c r="T255" s="140"/>
      <c r="U255" s="140"/>
    </row>
    <row r="256" spans="1:21" ht="15.75" hidden="1" outlineLevel="1" thickBot="1" x14ac:dyDescent="0.3">
      <c r="A256" s="203" t="s">
        <v>118</v>
      </c>
      <c r="B256" s="509"/>
      <c r="C256" s="292">
        <f>IF(B248=0,0,IF(C248&lt;=2,0,(C248-2)/0.5))</f>
        <v>0</v>
      </c>
      <c r="D256" s="241"/>
      <c r="E256" s="241"/>
      <c r="F256" s="241"/>
      <c r="G256" s="242"/>
      <c r="H256" s="294">
        <f>IF(C248&gt;6,ROUND(SUM(C256:G256)*$B$17*1.2,0),SUM(C256:G256)*$B$17)</f>
        <v>0</v>
      </c>
      <c r="N256" s="140"/>
      <c r="O256" s="140"/>
      <c r="P256" s="140"/>
      <c r="Q256" s="140"/>
      <c r="R256" s="140"/>
      <c r="S256" s="140"/>
      <c r="T256" s="140"/>
      <c r="U256" s="140"/>
    </row>
    <row r="257" spans="1:21" ht="15.75" hidden="1" outlineLevel="1" thickBot="1" x14ac:dyDescent="0.3">
      <c r="A257" s="203" t="s">
        <v>120</v>
      </c>
      <c r="B257" s="509"/>
      <c r="C257" s="291">
        <f>(ROUND((D248*E248)/0.3-1,0)*(F248+1)+ROUND((D248*E248)/0.3-1,0)*(G248))*B248</f>
        <v>0</v>
      </c>
      <c r="D257" s="241"/>
      <c r="E257" s="241"/>
      <c r="F257" s="241"/>
      <c r="G257" s="242"/>
      <c r="H257" s="294">
        <f>IF(C248&gt;6,ROUND(SUM(C257:G257)*$B$17*1.2,0),SUM(C257:G257)*$B$17)</f>
        <v>0</v>
      </c>
      <c r="N257" s="140"/>
      <c r="O257" s="140"/>
      <c r="P257" s="140"/>
      <c r="Q257" s="140"/>
      <c r="R257" s="140"/>
      <c r="S257" s="140"/>
      <c r="T257" s="140"/>
      <c r="U257" s="140"/>
    </row>
    <row r="258" spans="1:21" ht="15.75" hidden="1" outlineLevel="1" thickBot="1" x14ac:dyDescent="0.3">
      <c r="A258" s="203" t="s">
        <v>121</v>
      </c>
      <c r="B258" s="510"/>
      <c r="C258" s="293">
        <f>IF(B248=0,0,(D248+E248)*2*B248*F248*IF(G248=0,1,G248))</f>
        <v>0</v>
      </c>
      <c r="D258" s="243"/>
      <c r="E258" s="243"/>
      <c r="F258" s="243"/>
      <c r="G258" s="244"/>
      <c r="H258" s="294">
        <f>IF(C248&gt;6,ROUND(SUM(C258:G258)*$B$17*1.2,0),SUM(C258:G258)*$B$17)</f>
        <v>0</v>
      </c>
      <c r="N258" s="140"/>
      <c r="O258" s="140"/>
      <c r="P258" s="140"/>
      <c r="Q258" s="140"/>
      <c r="R258" s="140"/>
      <c r="S258" s="140"/>
      <c r="T258" s="140"/>
      <c r="U258" s="140"/>
    </row>
    <row r="259" spans="1:21" ht="15.75" collapsed="1" thickBot="1" x14ac:dyDescent="0.3">
      <c r="A259" s="203" t="s">
        <v>367</v>
      </c>
      <c r="B259" s="236">
        <f>SUMIFS(Simulador!D$85:D$116,Simulador!$A$85:$A$116,'Tabela de preços por Item'!$A259)</f>
        <v>0</v>
      </c>
      <c r="C259" s="236">
        <f>SUMIFS(Simulador!E$85:E$116,Simulador!$A$85:$A$116,'Tabela de preços por Item'!$A259)</f>
        <v>0</v>
      </c>
      <c r="D259" s="236">
        <f>SUMIFS(Simulador!F$85:F$116,Simulador!$A$85:$A$116,'Tabela de preços por Item'!$A259)</f>
        <v>0</v>
      </c>
      <c r="E259" s="236">
        <f>SUMIFS(Simulador!G$85:G$116,Simulador!$A$85:$A$116,'Tabela de preços por Item'!$A259)</f>
        <v>0.3</v>
      </c>
      <c r="F259" s="236">
        <f>SUMIFS(Simulador!H$85:H$116,Simulador!$A$85:$A$116,'Tabela de preços por Item'!$A259)</f>
        <v>0</v>
      </c>
      <c r="G259" s="236">
        <f>SUMIFS(Simulador!I$85:I$116,Simulador!$A$85:$A$116,'Tabela de preços por Item'!$A259)</f>
        <v>0</v>
      </c>
      <c r="H259" s="237" t="s">
        <v>355</v>
      </c>
      <c r="N259" s="140"/>
      <c r="O259" s="140"/>
      <c r="P259" s="140"/>
      <c r="Q259" s="140"/>
      <c r="R259" s="140"/>
      <c r="S259" s="140"/>
      <c r="T259" s="140"/>
      <c r="U259" s="140"/>
    </row>
    <row r="260" spans="1:21" ht="15.75" hidden="1" outlineLevel="1" thickBot="1" x14ac:dyDescent="0.3">
      <c r="A260" s="203" t="s">
        <v>129</v>
      </c>
      <c r="B260" s="508"/>
      <c r="C260" s="288">
        <f>IF(B259=0,0,IF(H259="tubo",(C259+1.5)*2*(ROUND((D259/3)+(E259/3),0)*2)+1+ROUND(((C259/2)*SQRT(D259^2+E259^2)),0)*4,ROUND(((C259/2)*SQRT(D259^2+E259^2)),0)*4))</f>
        <v>0</v>
      </c>
      <c r="D260" s="288">
        <f>IF(B259=0,0,IF($H$17="tubo",D259*4*2,0))</f>
        <v>0</v>
      </c>
      <c r="E260" s="288">
        <f>IF(B259=0,0,IF($H$17="tubo",E259*4*2,0))</f>
        <v>0</v>
      </c>
      <c r="F260" s="238"/>
      <c r="G260" s="290">
        <f>IF(G259=0,0,((G259*E259)+(G259*D259))*2)</f>
        <v>0</v>
      </c>
      <c r="H260" s="294">
        <f>IF(C259&gt;6,ROUND(SUM(C260:G260)*$B$17*1.2,0),SUM(C260:G260)*$B$17)</f>
        <v>0</v>
      </c>
      <c r="N260" s="140"/>
      <c r="O260" s="140"/>
      <c r="P260" s="140"/>
      <c r="Q260" s="140"/>
      <c r="R260" s="140"/>
      <c r="S260" s="140"/>
      <c r="T260" s="140"/>
      <c r="U260" s="140"/>
    </row>
    <row r="261" spans="1:21" ht="15.75" hidden="1" outlineLevel="1" thickBot="1" x14ac:dyDescent="0.3">
      <c r="A261" s="203" t="s">
        <v>115</v>
      </c>
      <c r="B261" s="509"/>
      <c r="C261" s="289">
        <f>IF(B259=0,0,IF(H259="tubo",C259*6+15,B259*4+C266*2))</f>
        <v>0</v>
      </c>
      <c r="D261" s="239"/>
      <c r="E261" s="239"/>
      <c r="F261" s="239"/>
      <c r="G261" s="240"/>
      <c r="H261" s="294">
        <f>IF(C259&gt;6,ROUND(SUM(C261:G261)*$B$17*1.2,0),SUM(C261:G261)*$B$17)</f>
        <v>0</v>
      </c>
      <c r="N261" s="140"/>
      <c r="O261" s="140"/>
      <c r="P261" s="140"/>
      <c r="Q261" s="140"/>
      <c r="R261" s="140"/>
      <c r="S261" s="140"/>
      <c r="T261" s="140"/>
      <c r="U261" s="140"/>
    </row>
    <row r="262" spans="1:21" ht="15.75" hidden="1" outlineLevel="1" thickBot="1" x14ac:dyDescent="0.3">
      <c r="A262" s="203" t="s">
        <v>119</v>
      </c>
      <c r="B262" s="509"/>
      <c r="C262" s="289">
        <f>IF(B259=0,0,IF(H259="tubo",ROUNDUP(H260/2-1,0),0))</f>
        <v>0</v>
      </c>
      <c r="D262" s="239"/>
      <c r="E262" s="239"/>
      <c r="F262" s="239"/>
      <c r="G262" s="240"/>
      <c r="H262" s="294">
        <f>IF(C259&gt;6,ROUND(SUM(C262:G262)*$B$17*1.2,0),SUM(C262:G262)*$B$17)</f>
        <v>0</v>
      </c>
      <c r="N262" s="140"/>
      <c r="O262" s="140"/>
      <c r="P262" s="140"/>
      <c r="Q262" s="140"/>
      <c r="R262" s="140"/>
      <c r="S262" s="140"/>
      <c r="T262" s="140"/>
      <c r="U262" s="140"/>
    </row>
    <row r="263" spans="1:21" ht="15.75" hidden="1" outlineLevel="1" thickBot="1" x14ac:dyDescent="0.3">
      <c r="A263" s="203" t="s">
        <v>114</v>
      </c>
      <c r="B263" s="509"/>
      <c r="C263" s="289">
        <f>IF(B259=0,0,IF(H259="Encaixe",(C259+1.5)*2*(ROUND((D259/3)+(E259/3),0)*2)+1,0))</f>
        <v>0</v>
      </c>
      <c r="D263" s="239"/>
      <c r="E263" s="239"/>
      <c r="F263" s="239"/>
      <c r="G263" s="240"/>
      <c r="H263" s="294">
        <f>IF(C259&gt;6,ROUND(SUM(C263:G263)*$B$17*1.2,0),SUM(C263:G263)*$B$17)</f>
        <v>0</v>
      </c>
      <c r="N263" s="140"/>
      <c r="O263" s="140"/>
      <c r="P263" s="140"/>
      <c r="Q263" s="140"/>
      <c r="R263" s="140"/>
      <c r="S263" s="140"/>
      <c r="T263" s="140"/>
      <c r="U263" s="140"/>
    </row>
    <row r="264" spans="1:21" ht="15.75" hidden="1" outlineLevel="1" thickBot="1" x14ac:dyDescent="0.3">
      <c r="A264" s="203" t="s">
        <v>235</v>
      </c>
      <c r="B264" s="509"/>
      <c r="C264" s="239"/>
      <c r="D264" s="289">
        <f>IF(B259=0,0,IF($H$17="encaixe",D259*4*2+1,0))</f>
        <v>0</v>
      </c>
      <c r="E264" s="289">
        <f>IF(B259=0,0,IF($H$17="encaixe",E259*4*2+1,0))</f>
        <v>0</v>
      </c>
      <c r="F264" s="239"/>
      <c r="G264" s="240"/>
      <c r="H264" s="294">
        <f>IF(C259&gt;6,ROUND(SUM(C264:G264)*$B$17*1.2,0),SUM(C264:G264)*$B$17)</f>
        <v>0</v>
      </c>
      <c r="N264" s="140"/>
      <c r="O264" s="140"/>
      <c r="P264" s="140"/>
      <c r="Q264" s="140"/>
      <c r="R264" s="140"/>
      <c r="S264" s="140"/>
      <c r="T264" s="140"/>
      <c r="U264" s="140"/>
    </row>
    <row r="265" spans="1:21" ht="15.75" hidden="1" outlineLevel="1" thickBot="1" x14ac:dyDescent="0.3">
      <c r="A265" s="203" t="s">
        <v>88</v>
      </c>
      <c r="B265" s="509"/>
      <c r="C265" s="289">
        <f>IF(B259=0,0,((ROUND((D259/3)+(E259/3),0)*4)))</f>
        <v>0</v>
      </c>
      <c r="D265" s="239"/>
      <c r="E265" s="239"/>
      <c r="F265" s="239"/>
      <c r="G265" s="240"/>
      <c r="H265" s="294">
        <f>IF(C259&gt;6,ROUND(SUM(C265:G265)*$B$17*1.2,0),SUM(C265:G265)*$B$17)</f>
        <v>0</v>
      </c>
      <c r="N265" s="140"/>
      <c r="O265" s="140"/>
      <c r="P265" s="140"/>
      <c r="Q265" s="140"/>
      <c r="R265" s="140"/>
      <c r="S265" s="140"/>
      <c r="T265" s="140"/>
      <c r="U265" s="140"/>
    </row>
    <row r="266" spans="1:21" ht="15.75" hidden="1" outlineLevel="1" thickBot="1" x14ac:dyDescent="0.3">
      <c r="A266" s="203" t="s">
        <v>91</v>
      </c>
      <c r="B266" s="509"/>
      <c r="C266" s="291">
        <f>IF(B259=0,0,ROUNDUP(C259/2,0))</f>
        <v>0</v>
      </c>
      <c r="D266" s="241"/>
      <c r="E266" s="241"/>
      <c r="F266" s="241"/>
      <c r="G266" s="242"/>
      <c r="H266" s="294">
        <f>IF(C259&gt;6,ROUND(SUM(C266:G266)*$B$17*1.2,0),SUM(C266:G266)*$B$17)</f>
        <v>0</v>
      </c>
      <c r="N266" s="140"/>
      <c r="O266" s="140"/>
      <c r="P266" s="140"/>
      <c r="Q266" s="140"/>
      <c r="R266" s="140"/>
      <c r="S266" s="140"/>
      <c r="T266" s="140"/>
      <c r="U266" s="140"/>
    </row>
    <row r="267" spans="1:21" ht="15.75" hidden="1" outlineLevel="1" thickBot="1" x14ac:dyDescent="0.3">
      <c r="A267" s="203" t="s">
        <v>118</v>
      </c>
      <c r="B267" s="509"/>
      <c r="C267" s="292">
        <f>IF(B259=0,0,IF(C259&lt;=2,0,(C259-2)/0.5))</f>
        <v>0</v>
      </c>
      <c r="D267" s="241"/>
      <c r="E267" s="241"/>
      <c r="F267" s="241"/>
      <c r="G267" s="242"/>
      <c r="H267" s="294">
        <f>IF(C259&gt;6,ROUND(SUM(C267:G267)*$B$17*1.2,0),SUM(C267:G267)*$B$17)</f>
        <v>0</v>
      </c>
      <c r="N267" s="140"/>
      <c r="O267" s="140"/>
      <c r="P267" s="140"/>
      <c r="Q267" s="140"/>
      <c r="R267" s="140"/>
      <c r="S267" s="140"/>
      <c r="T267" s="140"/>
      <c r="U267" s="140"/>
    </row>
    <row r="268" spans="1:21" ht="15.75" hidden="1" outlineLevel="1" thickBot="1" x14ac:dyDescent="0.3">
      <c r="A268" s="203" t="s">
        <v>120</v>
      </c>
      <c r="B268" s="509"/>
      <c r="C268" s="291">
        <f>(ROUND((D259*E259)/0.3-1,0)*(F259+1)+ROUND((D259*E259)/0.3-1,0)*(G259))*B259</f>
        <v>0</v>
      </c>
      <c r="D268" s="241"/>
      <c r="E268" s="241"/>
      <c r="F268" s="241"/>
      <c r="G268" s="242"/>
      <c r="H268" s="294">
        <f>IF(C259&gt;6,ROUND(SUM(C268:G268)*$B$17*1.2,0),SUM(C268:G268)*$B$17)</f>
        <v>0</v>
      </c>
      <c r="N268" s="140"/>
      <c r="O268" s="140"/>
      <c r="P268" s="140"/>
      <c r="Q268" s="140"/>
      <c r="R268" s="140"/>
      <c r="S268" s="140"/>
      <c r="T268" s="140"/>
      <c r="U268" s="140"/>
    </row>
    <row r="269" spans="1:21" ht="15.75" hidden="1" outlineLevel="1" thickBot="1" x14ac:dyDescent="0.3">
      <c r="A269" s="203" t="s">
        <v>121</v>
      </c>
      <c r="B269" s="510"/>
      <c r="C269" s="293">
        <f>IF(B259=0,0,(D259+E259)*2*B259*F259*IF(G259=0,1,G259))</f>
        <v>0</v>
      </c>
      <c r="D269" s="243"/>
      <c r="E269" s="243"/>
      <c r="F269" s="243"/>
      <c r="G269" s="244"/>
      <c r="H269" s="294">
        <f>IF(C259&gt;6,ROUND(SUM(C269:G269)*$B$17*1.2,0),SUM(C269:G269)*$B$17)</f>
        <v>0</v>
      </c>
      <c r="N269" s="140"/>
      <c r="O269" s="140"/>
      <c r="P269" s="140"/>
      <c r="Q269" s="140"/>
      <c r="R269" s="140"/>
      <c r="S269" s="140"/>
      <c r="T269" s="140"/>
      <c r="U269" s="140"/>
    </row>
    <row r="270" spans="1:21" ht="15.75" collapsed="1" thickBot="1" x14ac:dyDescent="0.3">
      <c r="A270" s="203" t="s">
        <v>368</v>
      </c>
      <c r="B270" s="236">
        <f>SUMIFS(Simulador!D$85:D$116,Simulador!$A$85:$A$116,'Tabela de preços por Item'!$A270)</f>
        <v>0</v>
      </c>
      <c r="C270" s="236">
        <f>SUMIFS(Simulador!E$85:E$116,Simulador!$A$85:$A$116,'Tabela de preços por Item'!$A270)</f>
        <v>0</v>
      </c>
      <c r="D270" s="236">
        <f>SUMIFS(Simulador!F$85:F$116,Simulador!$A$85:$A$116,'Tabela de preços por Item'!$A270)</f>
        <v>0</v>
      </c>
      <c r="E270" s="236">
        <f>SUMIFS(Simulador!G$85:G$116,Simulador!$A$85:$A$116,'Tabela de preços por Item'!$A270)</f>
        <v>0.3</v>
      </c>
      <c r="F270" s="236">
        <f>SUMIFS(Simulador!H$85:H$116,Simulador!$A$85:$A$116,'Tabela de preços por Item'!$A270)</f>
        <v>0</v>
      </c>
      <c r="G270" s="236">
        <f>SUMIFS(Simulador!I$85:I$116,Simulador!$A$85:$A$116,'Tabela de preços por Item'!$A270)</f>
        <v>0</v>
      </c>
      <c r="H270" s="237" t="s">
        <v>355</v>
      </c>
      <c r="N270" s="140"/>
      <c r="O270" s="140"/>
      <c r="P270" s="140"/>
      <c r="Q270" s="140"/>
      <c r="R270" s="140"/>
      <c r="S270" s="140"/>
      <c r="T270" s="140"/>
      <c r="U270" s="140"/>
    </row>
    <row r="271" spans="1:21" ht="15.75" hidden="1" outlineLevel="1" thickBot="1" x14ac:dyDescent="0.3">
      <c r="A271" s="203" t="s">
        <v>129</v>
      </c>
      <c r="B271" s="508"/>
      <c r="C271" s="288">
        <f>IF(B270=0,0,IF(H270="tubo",(C270+1.5)*2*(ROUND((D270/3)+(E270/3),0)*2)+1+ROUND(((C270/2)*SQRT(D270^2+E270^2)),0)*4,ROUND(((C270/2)*SQRT(D270^2+E270^2)),0)*4))</f>
        <v>0</v>
      </c>
      <c r="D271" s="288">
        <f>IF(B270=0,0,IF($H$17="tubo",D270*4*2,0))</f>
        <v>0</v>
      </c>
      <c r="E271" s="288">
        <f>IF(B270=0,0,IF($H$17="tubo",E270*4*2,0))</f>
        <v>0</v>
      </c>
      <c r="F271" s="238"/>
      <c r="G271" s="290">
        <f>IF(G270=0,0,((G270*E270)+(G270*D270))*2)</f>
        <v>0</v>
      </c>
      <c r="H271" s="294">
        <f>IF(C270&gt;6,ROUND(SUM(C271:G271)*$B$17*1.2,0),SUM(C271:G271)*$B$17)</f>
        <v>0</v>
      </c>
      <c r="N271" s="140"/>
      <c r="O271" s="140"/>
      <c r="P271" s="140"/>
      <c r="Q271" s="140"/>
      <c r="R271" s="140"/>
      <c r="S271" s="140"/>
      <c r="T271" s="140"/>
      <c r="U271" s="140"/>
    </row>
    <row r="272" spans="1:21" ht="15.75" hidden="1" outlineLevel="1" thickBot="1" x14ac:dyDescent="0.3">
      <c r="A272" s="203" t="s">
        <v>115</v>
      </c>
      <c r="B272" s="509"/>
      <c r="C272" s="289">
        <f>IF(B270=0,0,IF(H270="tubo",C270*6+15,B270*4+C277*2))</f>
        <v>0</v>
      </c>
      <c r="D272" s="239"/>
      <c r="E272" s="239"/>
      <c r="F272" s="239"/>
      <c r="G272" s="240"/>
      <c r="H272" s="294">
        <f>IF(C270&gt;6,ROUND(SUM(C272:G272)*$B$17*1.2,0),SUM(C272:G272)*$B$17)</f>
        <v>0</v>
      </c>
      <c r="N272" s="140"/>
      <c r="O272" s="140"/>
      <c r="P272" s="140"/>
      <c r="Q272" s="140"/>
      <c r="R272" s="140"/>
      <c r="S272" s="140"/>
      <c r="T272" s="140"/>
      <c r="U272" s="140"/>
    </row>
    <row r="273" spans="1:21" ht="15.75" hidden="1" outlineLevel="1" thickBot="1" x14ac:dyDescent="0.3">
      <c r="A273" s="203" t="s">
        <v>119</v>
      </c>
      <c r="B273" s="509"/>
      <c r="C273" s="289">
        <f>IF(B270=0,0,IF(H270="tubo",ROUNDUP(H271/2-1,0),0))</f>
        <v>0</v>
      </c>
      <c r="D273" s="239"/>
      <c r="E273" s="239"/>
      <c r="F273" s="239"/>
      <c r="G273" s="240"/>
      <c r="H273" s="294">
        <f>IF(C270&gt;6,ROUND(SUM(C273:G273)*$B$17*1.2,0),SUM(C273:G273)*$B$17)</f>
        <v>0</v>
      </c>
      <c r="N273" s="140"/>
      <c r="O273" s="140"/>
      <c r="P273" s="140"/>
      <c r="Q273" s="140"/>
      <c r="R273" s="140"/>
      <c r="S273" s="140"/>
      <c r="T273" s="140"/>
      <c r="U273" s="140"/>
    </row>
    <row r="274" spans="1:21" ht="15.75" hidden="1" outlineLevel="1" thickBot="1" x14ac:dyDescent="0.3">
      <c r="A274" s="203" t="s">
        <v>114</v>
      </c>
      <c r="B274" s="509"/>
      <c r="C274" s="289">
        <f>IF(B270=0,0,IF(H270="Encaixe",(C270+1.5)*2*(ROUND((D270/3)+(E270/3),0)*2)+1,0))</f>
        <v>0</v>
      </c>
      <c r="D274" s="239"/>
      <c r="E274" s="239"/>
      <c r="F274" s="239"/>
      <c r="G274" s="240"/>
      <c r="H274" s="294">
        <f>IF(C270&gt;6,ROUND(SUM(C274:G274)*$B$17*1.2,0),SUM(C274:G274)*$B$17)</f>
        <v>0</v>
      </c>
      <c r="N274" s="140"/>
      <c r="O274" s="140"/>
      <c r="P274" s="140"/>
      <c r="Q274" s="140"/>
      <c r="R274" s="140"/>
      <c r="S274" s="140"/>
      <c r="T274" s="140"/>
      <c r="U274" s="140"/>
    </row>
    <row r="275" spans="1:21" ht="15.75" hidden="1" outlineLevel="1" thickBot="1" x14ac:dyDescent="0.3">
      <c r="A275" s="203" t="s">
        <v>235</v>
      </c>
      <c r="B275" s="509"/>
      <c r="C275" s="239"/>
      <c r="D275" s="289">
        <f>IF(B270=0,0,IF($H$17="encaixe",D270*4*2+1,0))</f>
        <v>0</v>
      </c>
      <c r="E275" s="289">
        <f>IF(B270=0,0,IF($H$17="encaixe",E270*4*2+1,0))</f>
        <v>0</v>
      </c>
      <c r="F275" s="239"/>
      <c r="G275" s="240"/>
      <c r="H275" s="294">
        <f>IF(C270&gt;6,ROUND(SUM(C275:G275)*$B$17*1.2,0),SUM(C275:G275)*$B$17)</f>
        <v>0</v>
      </c>
      <c r="N275" s="140"/>
      <c r="O275" s="140"/>
      <c r="P275" s="140"/>
      <c r="Q275" s="140"/>
      <c r="R275" s="140"/>
      <c r="S275" s="140"/>
      <c r="T275" s="140"/>
      <c r="U275" s="140"/>
    </row>
    <row r="276" spans="1:21" ht="15.75" hidden="1" outlineLevel="1" thickBot="1" x14ac:dyDescent="0.3">
      <c r="A276" s="203" t="s">
        <v>88</v>
      </c>
      <c r="B276" s="509"/>
      <c r="C276" s="289">
        <f>IF(B270=0,0,((ROUND((D270/3)+(E270/3),0)*4)))</f>
        <v>0</v>
      </c>
      <c r="D276" s="239"/>
      <c r="E276" s="239"/>
      <c r="F276" s="239"/>
      <c r="G276" s="240"/>
      <c r="H276" s="294">
        <f>IF(C270&gt;6,ROUND(SUM(C276:G276)*$B$17*1.2,0),SUM(C276:G276)*$B$17)</f>
        <v>0</v>
      </c>
      <c r="N276" s="140"/>
      <c r="O276" s="140"/>
      <c r="P276" s="140"/>
      <c r="Q276" s="140"/>
      <c r="R276" s="140"/>
      <c r="S276" s="140"/>
      <c r="T276" s="140"/>
      <c r="U276" s="140"/>
    </row>
    <row r="277" spans="1:21" ht="15.75" hidden="1" outlineLevel="1" thickBot="1" x14ac:dyDescent="0.3">
      <c r="A277" s="203" t="s">
        <v>91</v>
      </c>
      <c r="B277" s="509"/>
      <c r="C277" s="291">
        <f>IF(B270=0,0,ROUNDUP(C270/2,0))</f>
        <v>0</v>
      </c>
      <c r="D277" s="241"/>
      <c r="E277" s="241"/>
      <c r="F277" s="241"/>
      <c r="G277" s="242"/>
      <c r="H277" s="294">
        <f>IF(C270&gt;6,ROUND(SUM(C277:G277)*$B$17*1.2,0),SUM(C277:G277)*$B$17)</f>
        <v>0</v>
      </c>
      <c r="N277" s="140"/>
      <c r="O277" s="140"/>
      <c r="P277" s="140"/>
      <c r="Q277" s="140"/>
      <c r="R277" s="140"/>
      <c r="S277" s="140"/>
      <c r="T277" s="140"/>
      <c r="U277" s="140"/>
    </row>
    <row r="278" spans="1:21" ht="15.75" hidden="1" outlineLevel="1" thickBot="1" x14ac:dyDescent="0.3">
      <c r="A278" s="203" t="s">
        <v>118</v>
      </c>
      <c r="B278" s="509"/>
      <c r="C278" s="292">
        <f>IF(B270=0,0,IF(C270&lt;=2,0,(C270-2)/0.5))</f>
        <v>0</v>
      </c>
      <c r="D278" s="241"/>
      <c r="E278" s="241"/>
      <c r="F278" s="241"/>
      <c r="G278" s="242"/>
      <c r="H278" s="294">
        <f>IF(C270&gt;6,ROUND(SUM(C278:G278)*$B$17*1.2,0),SUM(C278:G278)*$B$17)</f>
        <v>0</v>
      </c>
      <c r="N278" s="140"/>
      <c r="O278" s="140"/>
      <c r="P278" s="140"/>
      <c r="Q278" s="140"/>
      <c r="R278" s="140"/>
      <c r="S278" s="140"/>
      <c r="T278" s="140"/>
      <c r="U278" s="140"/>
    </row>
    <row r="279" spans="1:21" ht="15.75" hidden="1" outlineLevel="1" thickBot="1" x14ac:dyDescent="0.3">
      <c r="A279" s="203" t="s">
        <v>120</v>
      </c>
      <c r="B279" s="509"/>
      <c r="C279" s="291">
        <f>(ROUND((D270*E270)/0.3-1,0)*(F270+1)+ROUND((D270*E270)/0.3-1,0)*(G270))*B270</f>
        <v>0</v>
      </c>
      <c r="D279" s="241"/>
      <c r="E279" s="241"/>
      <c r="F279" s="241"/>
      <c r="G279" s="242"/>
      <c r="H279" s="294">
        <f>IF(C270&gt;6,ROUND(SUM(C279:G279)*$B$17*1.2,0),SUM(C279:G279)*$B$17)</f>
        <v>0</v>
      </c>
      <c r="N279" s="140"/>
      <c r="O279" s="140"/>
      <c r="P279" s="140"/>
      <c r="Q279" s="140"/>
      <c r="R279" s="140"/>
      <c r="S279" s="140"/>
      <c r="T279" s="140"/>
      <c r="U279" s="140"/>
    </row>
    <row r="280" spans="1:21" ht="15.75" hidden="1" outlineLevel="1" thickBot="1" x14ac:dyDescent="0.3">
      <c r="A280" s="203" t="s">
        <v>121</v>
      </c>
      <c r="B280" s="510"/>
      <c r="C280" s="293">
        <f>IF(B270=0,0,(D270+E270)*2*B270*F270*IF(G270=0,1,G270))</f>
        <v>0</v>
      </c>
      <c r="D280" s="243"/>
      <c r="E280" s="243"/>
      <c r="F280" s="243"/>
      <c r="G280" s="244"/>
      <c r="H280" s="294">
        <f>IF(C270&gt;6,ROUND(SUM(C280:G280)*$B$17*1.2,0),SUM(C280:G280)*$B$17)</f>
        <v>0</v>
      </c>
      <c r="N280" s="140"/>
      <c r="O280" s="140"/>
      <c r="P280" s="140"/>
      <c r="Q280" s="140"/>
      <c r="R280" s="140"/>
      <c r="S280" s="140"/>
      <c r="T280" s="140"/>
      <c r="U280" s="140"/>
    </row>
    <row r="281" spans="1:21" ht="15.75" collapsed="1" thickBot="1" x14ac:dyDescent="0.3">
      <c r="A281" s="203" t="s">
        <v>369</v>
      </c>
      <c r="B281" s="236">
        <f>SUMIFS(Simulador!D$85:D$116,Simulador!$A$85:$A$116,'Tabela de preços por Item'!$A281)</f>
        <v>0</v>
      </c>
      <c r="C281" s="236">
        <f>SUMIFS(Simulador!E$85:E$116,Simulador!$A$85:$A$116,'Tabela de preços por Item'!$A281)</f>
        <v>0</v>
      </c>
      <c r="D281" s="236">
        <f>SUMIFS(Simulador!F$85:F$116,Simulador!$A$85:$A$116,'Tabela de preços por Item'!$A281)</f>
        <v>0</v>
      </c>
      <c r="E281" s="236">
        <f>SUMIFS(Simulador!G$85:G$116,Simulador!$A$85:$A$116,'Tabela de preços por Item'!$A281)</f>
        <v>0.3</v>
      </c>
      <c r="F281" s="236">
        <f>SUMIFS(Simulador!H$85:H$116,Simulador!$A$85:$A$116,'Tabela de preços por Item'!$A281)</f>
        <v>0</v>
      </c>
      <c r="G281" s="236">
        <f>SUMIFS(Simulador!I$85:I$116,Simulador!$A$85:$A$116,'Tabela de preços por Item'!$A281)</f>
        <v>0</v>
      </c>
      <c r="H281" s="237" t="s">
        <v>355</v>
      </c>
      <c r="N281" s="140"/>
      <c r="O281" s="140"/>
      <c r="P281" s="140"/>
      <c r="Q281" s="140"/>
      <c r="R281" s="140"/>
      <c r="S281" s="140"/>
      <c r="T281" s="140"/>
      <c r="U281" s="140"/>
    </row>
    <row r="282" spans="1:21" ht="15.75" hidden="1" outlineLevel="1" thickBot="1" x14ac:dyDescent="0.3">
      <c r="A282" s="203" t="s">
        <v>129</v>
      </c>
      <c r="B282" s="508"/>
      <c r="C282" s="288">
        <f>IF(B281=0,0,IF(H281="tubo",(C281+1.5)*2*(ROUND((D281/3)+(E281/3),0)*2)+1+ROUND(((C281/2)*SQRT(D281^2+E281^2)),0)*4,ROUND(((C281/2)*SQRT(D281^2+E281^2)),0)*4))</f>
        <v>0</v>
      </c>
      <c r="D282" s="288">
        <f>IF(B281=0,0,IF($H$17="tubo",D281*4*2,0))</f>
        <v>0</v>
      </c>
      <c r="E282" s="288">
        <f>IF(B281=0,0,IF($H$17="tubo",E281*4*2,0))</f>
        <v>0</v>
      </c>
      <c r="F282" s="238"/>
      <c r="G282" s="290">
        <f>IF(G281=0,0,((G281*E281)+(G281*D281))*2)</f>
        <v>0</v>
      </c>
      <c r="H282" s="294">
        <f>IF(C281&gt;6,ROUND(SUM(C282:G282)*$B$17*1.2,0),SUM(C282:G282)*$B$17)</f>
        <v>0</v>
      </c>
      <c r="N282" s="140"/>
      <c r="O282" s="140"/>
      <c r="P282" s="140"/>
      <c r="Q282" s="140"/>
      <c r="R282" s="140"/>
      <c r="S282" s="140"/>
      <c r="T282" s="140"/>
      <c r="U282" s="140"/>
    </row>
    <row r="283" spans="1:21" ht="15.75" hidden="1" outlineLevel="1" thickBot="1" x14ac:dyDescent="0.3">
      <c r="A283" s="203" t="s">
        <v>115</v>
      </c>
      <c r="B283" s="509"/>
      <c r="C283" s="289">
        <f>IF(B281=0,0,IF(H281="tubo",C281*6+15,B281*4+C288*2))</f>
        <v>0</v>
      </c>
      <c r="D283" s="239"/>
      <c r="E283" s="239"/>
      <c r="F283" s="239"/>
      <c r="G283" s="240"/>
      <c r="H283" s="294">
        <f>IF(C281&gt;6,ROUND(SUM(C283:G283)*$B$17*1.2,0),SUM(C283:G283)*$B$17)</f>
        <v>0</v>
      </c>
      <c r="N283" s="140"/>
      <c r="O283" s="140"/>
      <c r="P283" s="140"/>
      <c r="Q283" s="140"/>
      <c r="R283" s="140"/>
      <c r="S283" s="140"/>
      <c r="T283" s="140"/>
      <c r="U283" s="140"/>
    </row>
    <row r="284" spans="1:21" ht="15.75" hidden="1" outlineLevel="1" thickBot="1" x14ac:dyDescent="0.3">
      <c r="A284" s="203" t="s">
        <v>119</v>
      </c>
      <c r="B284" s="509"/>
      <c r="C284" s="289">
        <f>IF(B281=0,0,IF(H281="tubo",ROUNDUP(H282/2-1,0),0))</f>
        <v>0</v>
      </c>
      <c r="D284" s="239"/>
      <c r="E284" s="239"/>
      <c r="F284" s="239"/>
      <c r="G284" s="240"/>
      <c r="H284" s="294">
        <f>IF(C281&gt;6,ROUND(SUM(C284:G284)*$B$17*1.2,0),SUM(C284:G284)*$B$17)</f>
        <v>0</v>
      </c>
      <c r="N284" s="140"/>
      <c r="O284" s="140"/>
      <c r="P284" s="140"/>
      <c r="Q284" s="140"/>
      <c r="R284" s="140"/>
      <c r="S284" s="140"/>
      <c r="T284" s="140"/>
      <c r="U284" s="140"/>
    </row>
    <row r="285" spans="1:21" ht="15.75" hidden="1" outlineLevel="1" thickBot="1" x14ac:dyDescent="0.3">
      <c r="A285" s="203" t="s">
        <v>114</v>
      </c>
      <c r="B285" s="509"/>
      <c r="C285" s="289">
        <f>IF(B281=0,0,IF(H281="Encaixe",(C281+1.5)*2*(ROUND((D281/3)+(E281/3),0)*2)+1,0))</f>
        <v>0</v>
      </c>
      <c r="D285" s="239"/>
      <c r="E285" s="239"/>
      <c r="F285" s="239"/>
      <c r="G285" s="240"/>
      <c r="H285" s="294">
        <f>IF(C281&gt;6,ROUND(SUM(C285:G285)*$B$17*1.2,0),SUM(C285:G285)*$B$17)</f>
        <v>0</v>
      </c>
      <c r="N285" s="140"/>
      <c r="O285" s="140"/>
      <c r="P285" s="140"/>
      <c r="Q285" s="140"/>
      <c r="R285" s="140"/>
      <c r="S285" s="140"/>
      <c r="T285" s="140"/>
      <c r="U285" s="140"/>
    </row>
    <row r="286" spans="1:21" ht="15.75" hidden="1" outlineLevel="1" thickBot="1" x14ac:dyDescent="0.3">
      <c r="A286" s="203" t="s">
        <v>235</v>
      </c>
      <c r="B286" s="509"/>
      <c r="C286" s="239"/>
      <c r="D286" s="289">
        <f>IF(B281=0,0,IF($H$17="encaixe",D281*4*2+1,0))</f>
        <v>0</v>
      </c>
      <c r="E286" s="289">
        <f>IF(B281=0,0,IF($H$17="encaixe",E281*4*2+1,0))</f>
        <v>0</v>
      </c>
      <c r="F286" s="239"/>
      <c r="G286" s="240"/>
      <c r="H286" s="294">
        <f>IF(C281&gt;6,ROUND(SUM(C286:G286)*$B$17*1.2,0),SUM(C286:G286)*$B$17)</f>
        <v>0</v>
      </c>
      <c r="N286" s="140"/>
      <c r="O286" s="140"/>
      <c r="P286" s="140"/>
      <c r="Q286" s="140"/>
      <c r="R286" s="140"/>
      <c r="S286" s="140"/>
      <c r="T286" s="140"/>
      <c r="U286" s="140"/>
    </row>
    <row r="287" spans="1:21" ht="15.75" hidden="1" outlineLevel="1" thickBot="1" x14ac:dyDescent="0.3">
      <c r="A287" s="203" t="s">
        <v>88</v>
      </c>
      <c r="B287" s="509"/>
      <c r="C287" s="289">
        <f>IF(B281=0,0,((ROUND((D281/3)+(E281/3),0)*4)))</f>
        <v>0</v>
      </c>
      <c r="D287" s="239"/>
      <c r="E287" s="239"/>
      <c r="F287" s="239"/>
      <c r="G287" s="240"/>
      <c r="H287" s="294">
        <f>IF(C281&gt;6,ROUND(SUM(C287:G287)*$B$17*1.2,0),SUM(C287:G287)*$B$17)</f>
        <v>0</v>
      </c>
    </row>
    <row r="288" spans="1:21" ht="15.75" hidden="1" outlineLevel="1" thickBot="1" x14ac:dyDescent="0.3">
      <c r="A288" s="203" t="s">
        <v>91</v>
      </c>
      <c r="B288" s="509"/>
      <c r="C288" s="291">
        <f>IF(B281=0,0,ROUNDUP(C281/2,0))</f>
        <v>0</v>
      </c>
      <c r="D288" s="241"/>
      <c r="E288" s="241"/>
      <c r="F288" s="241"/>
      <c r="G288" s="242"/>
      <c r="H288" s="294">
        <f>IF(C281&gt;6,ROUND(SUM(C288:G288)*$B$17*1.2,0),SUM(C288:G288)*$B$17)</f>
        <v>0</v>
      </c>
    </row>
    <row r="289" spans="1:9" ht="15.75" hidden="1" outlineLevel="1" thickBot="1" x14ac:dyDescent="0.3">
      <c r="A289" s="203" t="s">
        <v>118</v>
      </c>
      <c r="B289" s="509"/>
      <c r="C289" s="292">
        <f>IF(B281=0,0,IF(C281&lt;=2,0,(C281-2)/0.5))</f>
        <v>0</v>
      </c>
      <c r="D289" s="241"/>
      <c r="E289" s="241"/>
      <c r="F289" s="241"/>
      <c r="G289" s="242"/>
      <c r="H289" s="294">
        <f>IF(C281&gt;6,ROUND(SUM(C289:G289)*$B$17*1.2,0),SUM(C289:G289)*$B$17)</f>
        <v>0</v>
      </c>
    </row>
    <row r="290" spans="1:9" ht="15.75" hidden="1" outlineLevel="1" thickBot="1" x14ac:dyDescent="0.3">
      <c r="A290" s="203" t="s">
        <v>120</v>
      </c>
      <c r="B290" s="509"/>
      <c r="C290" s="291">
        <f>(ROUND((D281*E281)/0.3-1,0)*(F281+1)+ROUND((D281*E281)/0.3-1,0)*(G281))*B281</f>
        <v>0</v>
      </c>
      <c r="D290" s="241"/>
      <c r="E290" s="241"/>
      <c r="F290" s="241"/>
      <c r="G290" s="242"/>
      <c r="H290" s="294">
        <f>IF(C281&gt;6,ROUND(SUM(C290:G290)*$B$17*1.2,0),SUM(C290:G290)*$B$17)</f>
        <v>0</v>
      </c>
    </row>
    <row r="291" spans="1:9" ht="15.75" hidden="1" outlineLevel="1" thickBot="1" x14ac:dyDescent="0.3">
      <c r="A291" s="203" t="s">
        <v>121</v>
      </c>
      <c r="B291" s="510"/>
      <c r="C291" s="293">
        <f>IF(B281=0,0,(D281+E281)*2*B281*F281*IF(G281=0,1,G281))</f>
        <v>0</v>
      </c>
      <c r="D291" s="243"/>
      <c r="E291" s="243"/>
      <c r="F291" s="243"/>
      <c r="G291" s="244"/>
      <c r="H291" s="294">
        <f>IF(C281&gt;6,ROUND(SUM(C291:G291)*$B$17*1.2,0),SUM(C291:G291)*$B$17)</f>
        <v>0</v>
      </c>
    </row>
    <row r="292" spans="1:9" collapsed="1" x14ac:dyDescent="0.25"/>
    <row r="294" spans="1:9" ht="15.75" thickBot="1" x14ac:dyDescent="0.3"/>
    <row r="295" spans="1:9" ht="15.75" thickBot="1" x14ac:dyDescent="0.3">
      <c r="A295" s="246" t="s">
        <v>28</v>
      </c>
      <c r="B295" s="247" t="s">
        <v>122</v>
      </c>
      <c r="C295" s="247" t="s">
        <v>123</v>
      </c>
      <c r="D295" s="247" t="s">
        <v>112</v>
      </c>
      <c r="E295" s="247" t="s">
        <v>116</v>
      </c>
      <c r="F295" s="247" t="s">
        <v>125</v>
      </c>
      <c r="G295" s="248" t="s">
        <v>107</v>
      </c>
      <c r="H295" s="249" t="s">
        <v>124</v>
      </c>
      <c r="I295" s="250" t="s">
        <v>113</v>
      </c>
    </row>
    <row r="296" spans="1:9" x14ac:dyDescent="0.25">
      <c r="A296" s="256" t="s">
        <v>200</v>
      </c>
      <c r="B296" s="251" t="str">
        <f t="shared" ref="B296:B327" si="12">VLOOKUP($A296,$A$398:$P$486,5,FALSE)</f>
        <v>ML</v>
      </c>
      <c r="C296" s="251">
        <f t="shared" ref="C296:C327" si="13">VLOOKUP($A296,$A$398:$P$486,6,FALSE)</f>
        <v>0.5</v>
      </c>
      <c r="D296" s="257"/>
      <c r="E296" s="253">
        <f>IFERROR(D296*C296,"")</f>
        <v>0</v>
      </c>
      <c r="F296" s="189">
        <f t="shared" ref="F296:F327" si="14">VLOOKUP($A296,$A$398:$P$486,2,FALSE)</f>
        <v>1.85</v>
      </c>
      <c r="G296" s="254">
        <f t="shared" ref="G296:G327" si="15">VLOOKUP($A296,$A$398:$M$486,12,FALSE)</f>
        <v>1.07</v>
      </c>
      <c r="H296" s="253">
        <f>IFERROR(F296*D296,"")</f>
        <v>0</v>
      </c>
      <c r="I296" s="255">
        <f>IFERROR(ROUND(G296*D296,2),"")</f>
        <v>0</v>
      </c>
    </row>
    <row r="297" spans="1:9" x14ac:dyDescent="0.25">
      <c r="A297" s="245" t="s">
        <v>201</v>
      </c>
      <c r="B297" s="295" t="str">
        <f t="shared" si="12"/>
        <v>ML</v>
      </c>
      <c r="C297" s="295">
        <f t="shared" si="13"/>
        <v>0.75</v>
      </c>
      <c r="D297" s="252"/>
      <c r="E297" s="296">
        <f>IFERROR(D297*C297,"")</f>
        <v>0</v>
      </c>
      <c r="F297" s="297">
        <f t="shared" si="14"/>
        <v>2.7750000000000004</v>
      </c>
      <c r="G297" s="298">
        <f t="shared" si="15"/>
        <v>1.605</v>
      </c>
      <c r="H297" s="296">
        <f>IFERROR(F297*D297,"")</f>
        <v>0</v>
      </c>
      <c r="I297" s="299">
        <f>IFERROR(ROUND(G297*D297,2),"")</f>
        <v>0</v>
      </c>
    </row>
    <row r="298" spans="1:9" x14ac:dyDescent="0.25">
      <c r="A298" s="256" t="s">
        <v>129</v>
      </c>
      <c r="B298" s="251" t="str">
        <f t="shared" si="12"/>
        <v>ML</v>
      </c>
      <c r="C298" s="251">
        <f t="shared" si="13"/>
        <v>1</v>
      </c>
      <c r="D298" s="257"/>
      <c r="E298" s="253">
        <f t="shared" ref="E298:E364" si="16">IFERROR(D298*C298,"")</f>
        <v>0</v>
      </c>
      <c r="F298" s="189">
        <f t="shared" si="14"/>
        <v>3.7</v>
      </c>
      <c r="G298" s="254">
        <f t="shared" si="15"/>
        <v>2.14</v>
      </c>
      <c r="H298" s="253">
        <f t="shared" ref="H298:H364" si="17">IFERROR(F298*D298,"")</f>
        <v>0</v>
      </c>
      <c r="I298" s="255">
        <f t="shared" ref="I298:I364" si="18">IFERROR(ROUND(G298*D298,2),"")</f>
        <v>0</v>
      </c>
    </row>
    <row r="299" spans="1:9" x14ac:dyDescent="0.25">
      <c r="A299" s="245" t="s">
        <v>202</v>
      </c>
      <c r="B299" s="295" t="str">
        <f t="shared" si="12"/>
        <v>ML</v>
      </c>
      <c r="C299" s="295">
        <f t="shared" si="13"/>
        <v>1.25</v>
      </c>
      <c r="D299" s="252"/>
      <c r="E299" s="296">
        <f t="shared" ref="E299" si="19">IFERROR(D299*C299,"")</f>
        <v>0</v>
      </c>
      <c r="F299" s="297">
        <f t="shared" si="14"/>
        <v>4.625</v>
      </c>
      <c r="G299" s="298">
        <f t="shared" si="15"/>
        <v>2.6750000000000003</v>
      </c>
      <c r="H299" s="296">
        <f t="shared" ref="H299" si="20">IFERROR(F299*D299,"")</f>
        <v>0</v>
      </c>
      <c r="I299" s="299">
        <f t="shared" ref="I299" si="21">IFERROR(ROUND(G299*D299,2),"")</f>
        <v>0</v>
      </c>
    </row>
    <row r="300" spans="1:9" x14ac:dyDescent="0.25">
      <c r="A300" s="256" t="s">
        <v>203</v>
      </c>
      <c r="B300" s="251" t="str">
        <f t="shared" si="12"/>
        <v>ML</v>
      </c>
      <c r="C300" s="251">
        <f t="shared" si="13"/>
        <v>1.5</v>
      </c>
      <c r="D300" s="257"/>
      <c r="E300" s="253">
        <f t="shared" si="16"/>
        <v>0</v>
      </c>
      <c r="F300" s="189">
        <f t="shared" si="14"/>
        <v>5.5500000000000007</v>
      </c>
      <c r="G300" s="254">
        <f t="shared" si="15"/>
        <v>3.21</v>
      </c>
      <c r="H300" s="253">
        <f t="shared" si="17"/>
        <v>0</v>
      </c>
      <c r="I300" s="255">
        <f t="shared" si="18"/>
        <v>0</v>
      </c>
    </row>
    <row r="301" spans="1:9" x14ac:dyDescent="0.25">
      <c r="A301" s="245" t="s">
        <v>204</v>
      </c>
      <c r="B301" s="295" t="str">
        <f t="shared" si="12"/>
        <v>ML</v>
      </c>
      <c r="C301" s="295">
        <f t="shared" si="13"/>
        <v>1.75</v>
      </c>
      <c r="D301" s="252"/>
      <c r="E301" s="296">
        <f t="shared" si="16"/>
        <v>0</v>
      </c>
      <c r="F301" s="297">
        <f t="shared" si="14"/>
        <v>6.4750000000000005</v>
      </c>
      <c r="G301" s="298">
        <f t="shared" si="15"/>
        <v>3.7450000000000001</v>
      </c>
      <c r="H301" s="296">
        <f t="shared" si="17"/>
        <v>0</v>
      </c>
      <c r="I301" s="299">
        <f t="shared" si="18"/>
        <v>0</v>
      </c>
    </row>
    <row r="302" spans="1:9" x14ac:dyDescent="0.25">
      <c r="A302" s="256" t="s">
        <v>205</v>
      </c>
      <c r="B302" s="251" t="str">
        <f t="shared" si="12"/>
        <v>ML</v>
      </c>
      <c r="C302" s="251">
        <f t="shared" si="13"/>
        <v>2</v>
      </c>
      <c r="D302" s="257"/>
      <c r="E302" s="253">
        <f t="shared" si="16"/>
        <v>0</v>
      </c>
      <c r="F302" s="189">
        <f t="shared" si="14"/>
        <v>7.4</v>
      </c>
      <c r="G302" s="254">
        <f t="shared" si="15"/>
        <v>4.28</v>
      </c>
      <c r="H302" s="253">
        <f t="shared" si="17"/>
        <v>0</v>
      </c>
      <c r="I302" s="255">
        <f t="shared" si="18"/>
        <v>0</v>
      </c>
    </row>
    <row r="303" spans="1:9" x14ac:dyDescent="0.25">
      <c r="A303" s="245" t="s">
        <v>206</v>
      </c>
      <c r="B303" s="295" t="str">
        <f t="shared" si="12"/>
        <v>ML</v>
      </c>
      <c r="C303" s="295">
        <f t="shared" si="13"/>
        <v>2.25</v>
      </c>
      <c r="D303" s="252"/>
      <c r="E303" s="296">
        <f t="shared" si="16"/>
        <v>0</v>
      </c>
      <c r="F303" s="297">
        <f t="shared" si="14"/>
        <v>8.3250000000000011</v>
      </c>
      <c r="G303" s="298">
        <f t="shared" si="15"/>
        <v>4.8150000000000004</v>
      </c>
      <c r="H303" s="296">
        <f t="shared" si="17"/>
        <v>0</v>
      </c>
      <c r="I303" s="299">
        <f t="shared" si="18"/>
        <v>0</v>
      </c>
    </row>
    <row r="304" spans="1:9" x14ac:dyDescent="0.25">
      <c r="A304" s="256" t="s">
        <v>207</v>
      </c>
      <c r="B304" s="251" t="str">
        <f t="shared" si="12"/>
        <v>ML</v>
      </c>
      <c r="C304" s="251">
        <f t="shared" si="13"/>
        <v>2.5</v>
      </c>
      <c r="D304" s="257"/>
      <c r="E304" s="253">
        <f t="shared" si="16"/>
        <v>0</v>
      </c>
      <c r="F304" s="189">
        <f t="shared" si="14"/>
        <v>9.25</v>
      </c>
      <c r="G304" s="254">
        <f t="shared" si="15"/>
        <v>5.3500000000000005</v>
      </c>
      <c r="H304" s="253">
        <f t="shared" si="17"/>
        <v>0</v>
      </c>
      <c r="I304" s="255">
        <f t="shared" si="18"/>
        <v>0</v>
      </c>
    </row>
    <row r="305" spans="1:9" x14ac:dyDescent="0.25">
      <c r="A305" s="245" t="s">
        <v>208</v>
      </c>
      <c r="B305" s="295" t="str">
        <f t="shared" si="12"/>
        <v>ML</v>
      </c>
      <c r="C305" s="295">
        <f t="shared" si="13"/>
        <v>2.75</v>
      </c>
      <c r="D305" s="252"/>
      <c r="E305" s="296">
        <f t="shared" si="16"/>
        <v>0</v>
      </c>
      <c r="F305" s="297">
        <f t="shared" si="14"/>
        <v>10.175000000000001</v>
      </c>
      <c r="G305" s="298">
        <f t="shared" si="15"/>
        <v>5.8850000000000007</v>
      </c>
      <c r="H305" s="296">
        <f t="shared" si="17"/>
        <v>0</v>
      </c>
      <c r="I305" s="299">
        <f t="shared" si="18"/>
        <v>0</v>
      </c>
    </row>
    <row r="306" spans="1:9" x14ac:dyDescent="0.25">
      <c r="A306" s="256" t="s">
        <v>209</v>
      </c>
      <c r="B306" s="251" t="str">
        <f t="shared" si="12"/>
        <v>ML</v>
      </c>
      <c r="C306" s="251">
        <f t="shared" si="13"/>
        <v>3</v>
      </c>
      <c r="D306" s="257"/>
      <c r="E306" s="253">
        <f t="shared" si="16"/>
        <v>0</v>
      </c>
      <c r="F306" s="189">
        <f t="shared" si="14"/>
        <v>11.100000000000001</v>
      </c>
      <c r="G306" s="254">
        <f t="shared" si="15"/>
        <v>6.42</v>
      </c>
      <c r="H306" s="253">
        <f t="shared" si="17"/>
        <v>0</v>
      </c>
      <c r="I306" s="255">
        <f t="shared" si="18"/>
        <v>0</v>
      </c>
    </row>
    <row r="307" spans="1:9" x14ac:dyDescent="0.25">
      <c r="A307" s="245" t="s">
        <v>210</v>
      </c>
      <c r="B307" s="295" t="str">
        <f t="shared" si="12"/>
        <v>ML</v>
      </c>
      <c r="C307" s="295">
        <f t="shared" si="13"/>
        <v>3.25</v>
      </c>
      <c r="D307" s="252"/>
      <c r="E307" s="296">
        <f t="shared" si="16"/>
        <v>0</v>
      </c>
      <c r="F307" s="297">
        <f t="shared" si="14"/>
        <v>12.025</v>
      </c>
      <c r="G307" s="298">
        <f t="shared" si="15"/>
        <v>6.9550000000000001</v>
      </c>
      <c r="H307" s="296">
        <f t="shared" si="17"/>
        <v>0</v>
      </c>
      <c r="I307" s="299">
        <f t="shared" si="18"/>
        <v>0</v>
      </c>
    </row>
    <row r="308" spans="1:9" x14ac:dyDescent="0.25">
      <c r="A308" s="256" t="s">
        <v>211</v>
      </c>
      <c r="B308" s="251" t="str">
        <f t="shared" si="12"/>
        <v>ML</v>
      </c>
      <c r="C308" s="251">
        <f t="shared" si="13"/>
        <v>3.5</v>
      </c>
      <c r="D308" s="257"/>
      <c r="E308" s="253">
        <f t="shared" si="16"/>
        <v>0</v>
      </c>
      <c r="F308" s="189">
        <f t="shared" si="14"/>
        <v>12.950000000000001</v>
      </c>
      <c r="G308" s="254">
        <f t="shared" si="15"/>
        <v>7.49</v>
      </c>
      <c r="H308" s="253">
        <f t="shared" si="17"/>
        <v>0</v>
      </c>
      <c r="I308" s="255">
        <f t="shared" si="18"/>
        <v>0</v>
      </c>
    </row>
    <row r="309" spans="1:9" x14ac:dyDescent="0.25">
      <c r="A309" s="245" t="s">
        <v>212</v>
      </c>
      <c r="B309" s="295" t="str">
        <f t="shared" si="12"/>
        <v>ML</v>
      </c>
      <c r="C309" s="295">
        <f t="shared" si="13"/>
        <v>3.75</v>
      </c>
      <c r="D309" s="252"/>
      <c r="E309" s="296">
        <f t="shared" si="16"/>
        <v>0</v>
      </c>
      <c r="F309" s="297">
        <f t="shared" si="14"/>
        <v>13.875</v>
      </c>
      <c r="G309" s="298">
        <f t="shared" si="15"/>
        <v>8.0250000000000004</v>
      </c>
      <c r="H309" s="296">
        <f t="shared" si="17"/>
        <v>0</v>
      </c>
      <c r="I309" s="299">
        <f t="shared" si="18"/>
        <v>0</v>
      </c>
    </row>
    <row r="310" spans="1:9" x14ac:dyDescent="0.25">
      <c r="A310" s="256" t="s">
        <v>146</v>
      </c>
      <c r="B310" s="251" t="str">
        <f t="shared" si="12"/>
        <v>ML</v>
      </c>
      <c r="C310" s="251">
        <f t="shared" si="13"/>
        <v>4</v>
      </c>
      <c r="D310" s="257"/>
      <c r="E310" s="253">
        <f t="shared" si="16"/>
        <v>0</v>
      </c>
      <c r="F310" s="189">
        <f t="shared" si="14"/>
        <v>14.8</v>
      </c>
      <c r="G310" s="254">
        <f t="shared" si="15"/>
        <v>8.56</v>
      </c>
      <c r="H310" s="253">
        <f t="shared" si="17"/>
        <v>0</v>
      </c>
      <c r="I310" s="255">
        <f t="shared" si="18"/>
        <v>0</v>
      </c>
    </row>
    <row r="311" spans="1:9" x14ac:dyDescent="0.25">
      <c r="A311" s="245" t="s">
        <v>213</v>
      </c>
      <c r="B311" s="295" t="str">
        <f t="shared" si="12"/>
        <v>ML</v>
      </c>
      <c r="C311" s="295">
        <f t="shared" si="13"/>
        <v>4.25</v>
      </c>
      <c r="D311" s="252"/>
      <c r="E311" s="296">
        <f t="shared" si="16"/>
        <v>0</v>
      </c>
      <c r="F311" s="297">
        <f t="shared" si="14"/>
        <v>15.725000000000001</v>
      </c>
      <c r="G311" s="298">
        <f t="shared" si="15"/>
        <v>9.0950000000000006</v>
      </c>
      <c r="H311" s="296">
        <f t="shared" si="17"/>
        <v>0</v>
      </c>
      <c r="I311" s="299">
        <f t="shared" si="18"/>
        <v>0</v>
      </c>
    </row>
    <row r="312" spans="1:9" x14ac:dyDescent="0.25">
      <c r="A312" s="256" t="s">
        <v>214</v>
      </c>
      <c r="B312" s="251" t="str">
        <f t="shared" si="12"/>
        <v>ML</v>
      </c>
      <c r="C312" s="251">
        <f t="shared" si="13"/>
        <v>4.5</v>
      </c>
      <c r="D312" s="257"/>
      <c r="E312" s="253">
        <f t="shared" si="16"/>
        <v>0</v>
      </c>
      <c r="F312" s="189">
        <f t="shared" si="14"/>
        <v>16.650000000000002</v>
      </c>
      <c r="G312" s="254">
        <f t="shared" si="15"/>
        <v>9.6300000000000008</v>
      </c>
      <c r="H312" s="253">
        <f t="shared" si="17"/>
        <v>0</v>
      </c>
      <c r="I312" s="255">
        <f t="shared" si="18"/>
        <v>0</v>
      </c>
    </row>
    <row r="313" spans="1:9" x14ac:dyDescent="0.25">
      <c r="A313" s="245" t="s">
        <v>215</v>
      </c>
      <c r="B313" s="295" t="str">
        <f t="shared" si="12"/>
        <v>ML</v>
      </c>
      <c r="C313" s="295">
        <f t="shared" si="13"/>
        <v>4.75</v>
      </c>
      <c r="D313" s="252"/>
      <c r="E313" s="296">
        <f t="shared" si="16"/>
        <v>0</v>
      </c>
      <c r="F313" s="297">
        <f t="shared" si="14"/>
        <v>17.574999999999999</v>
      </c>
      <c r="G313" s="298">
        <f t="shared" si="15"/>
        <v>10.165000000000001</v>
      </c>
      <c r="H313" s="296">
        <f t="shared" si="17"/>
        <v>0</v>
      </c>
      <c r="I313" s="299">
        <f t="shared" si="18"/>
        <v>0</v>
      </c>
    </row>
    <row r="314" spans="1:9" x14ac:dyDescent="0.25">
      <c r="A314" s="256" t="s">
        <v>216</v>
      </c>
      <c r="B314" s="251" t="str">
        <f t="shared" si="12"/>
        <v>ML</v>
      </c>
      <c r="C314" s="251">
        <f t="shared" si="13"/>
        <v>5</v>
      </c>
      <c r="D314" s="257"/>
      <c r="E314" s="253">
        <f t="shared" si="16"/>
        <v>0</v>
      </c>
      <c r="F314" s="189">
        <f t="shared" si="14"/>
        <v>18.5</v>
      </c>
      <c r="G314" s="254">
        <f t="shared" si="15"/>
        <v>10.700000000000001</v>
      </c>
      <c r="H314" s="253">
        <f t="shared" si="17"/>
        <v>0</v>
      </c>
      <c r="I314" s="255">
        <f t="shared" si="18"/>
        <v>0</v>
      </c>
    </row>
    <row r="315" spans="1:9" x14ac:dyDescent="0.25">
      <c r="A315" s="245" t="s">
        <v>217</v>
      </c>
      <c r="B315" s="295" t="str">
        <f t="shared" si="12"/>
        <v>ML</v>
      </c>
      <c r="C315" s="295">
        <f t="shared" si="13"/>
        <v>5.25</v>
      </c>
      <c r="D315" s="252"/>
      <c r="E315" s="296">
        <f t="shared" si="16"/>
        <v>0</v>
      </c>
      <c r="F315" s="297">
        <f t="shared" si="14"/>
        <v>19.425000000000001</v>
      </c>
      <c r="G315" s="298">
        <f t="shared" si="15"/>
        <v>11.235000000000001</v>
      </c>
      <c r="H315" s="296">
        <f t="shared" si="17"/>
        <v>0</v>
      </c>
      <c r="I315" s="299">
        <f t="shared" si="18"/>
        <v>0</v>
      </c>
    </row>
    <row r="316" spans="1:9" x14ac:dyDescent="0.25">
      <c r="A316" s="256" t="s">
        <v>218</v>
      </c>
      <c r="B316" s="251" t="str">
        <f t="shared" si="12"/>
        <v>ML</v>
      </c>
      <c r="C316" s="251">
        <f t="shared" si="13"/>
        <v>5.5</v>
      </c>
      <c r="D316" s="257"/>
      <c r="E316" s="253">
        <f t="shared" si="16"/>
        <v>0</v>
      </c>
      <c r="F316" s="189">
        <f t="shared" si="14"/>
        <v>20.350000000000001</v>
      </c>
      <c r="G316" s="254">
        <f t="shared" si="15"/>
        <v>11.770000000000001</v>
      </c>
      <c r="H316" s="253">
        <f t="shared" si="17"/>
        <v>0</v>
      </c>
      <c r="I316" s="255">
        <f t="shared" si="18"/>
        <v>0</v>
      </c>
    </row>
    <row r="317" spans="1:9" x14ac:dyDescent="0.25">
      <c r="A317" s="245" t="s">
        <v>219</v>
      </c>
      <c r="B317" s="295" t="str">
        <f t="shared" si="12"/>
        <v>ML</v>
      </c>
      <c r="C317" s="295">
        <f t="shared" si="13"/>
        <v>5.75</v>
      </c>
      <c r="D317" s="252"/>
      <c r="E317" s="296">
        <f t="shared" si="16"/>
        <v>0</v>
      </c>
      <c r="F317" s="297">
        <f t="shared" si="14"/>
        <v>21.275000000000002</v>
      </c>
      <c r="G317" s="298">
        <f t="shared" si="15"/>
        <v>12.305000000000001</v>
      </c>
      <c r="H317" s="296">
        <f t="shared" si="17"/>
        <v>0</v>
      </c>
      <c r="I317" s="299">
        <f t="shared" si="18"/>
        <v>0</v>
      </c>
    </row>
    <row r="318" spans="1:9" x14ac:dyDescent="0.25">
      <c r="A318" s="256" t="s">
        <v>147</v>
      </c>
      <c r="B318" s="251" t="str">
        <f t="shared" si="12"/>
        <v>ML</v>
      </c>
      <c r="C318" s="251">
        <f t="shared" si="13"/>
        <v>6</v>
      </c>
      <c r="D318" s="257"/>
      <c r="E318" s="253">
        <f t="shared" si="16"/>
        <v>0</v>
      </c>
      <c r="F318" s="189">
        <f t="shared" si="14"/>
        <v>22.200000000000003</v>
      </c>
      <c r="G318" s="254">
        <f t="shared" si="15"/>
        <v>12.84</v>
      </c>
      <c r="H318" s="253">
        <f t="shared" si="17"/>
        <v>0</v>
      </c>
      <c r="I318" s="255">
        <f t="shared" si="18"/>
        <v>0</v>
      </c>
    </row>
    <row r="319" spans="1:9" x14ac:dyDescent="0.25">
      <c r="A319" s="245" t="s">
        <v>220</v>
      </c>
      <c r="B319" s="295" t="str">
        <f t="shared" si="12"/>
        <v>ML</v>
      </c>
      <c r="C319" s="295">
        <f t="shared" si="13"/>
        <v>0.25</v>
      </c>
      <c r="D319" s="252"/>
      <c r="E319" s="296">
        <f t="shared" si="16"/>
        <v>0</v>
      </c>
      <c r="F319" s="297">
        <f t="shared" si="14"/>
        <v>1.4325000000000001</v>
      </c>
      <c r="G319" s="298">
        <f t="shared" si="15"/>
        <v>0.9375</v>
      </c>
      <c r="H319" s="296">
        <f t="shared" si="17"/>
        <v>0</v>
      </c>
      <c r="I319" s="299">
        <f t="shared" si="18"/>
        <v>0</v>
      </c>
    </row>
    <row r="320" spans="1:9" x14ac:dyDescent="0.25">
      <c r="A320" s="256" t="s">
        <v>221</v>
      </c>
      <c r="B320" s="251" t="str">
        <f t="shared" si="12"/>
        <v>ML</v>
      </c>
      <c r="C320" s="251">
        <f t="shared" si="13"/>
        <v>0.5</v>
      </c>
      <c r="D320" s="257"/>
      <c r="E320" s="253">
        <f t="shared" si="16"/>
        <v>0</v>
      </c>
      <c r="F320" s="189">
        <f t="shared" si="14"/>
        <v>2.8650000000000002</v>
      </c>
      <c r="G320" s="254">
        <f t="shared" si="15"/>
        <v>1.875</v>
      </c>
      <c r="H320" s="253">
        <f t="shared" si="17"/>
        <v>0</v>
      </c>
      <c r="I320" s="255">
        <f t="shared" si="18"/>
        <v>0</v>
      </c>
    </row>
    <row r="321" spans="1:9" x14ac:dyDescent="0.25">
      <c r="A321" s="245" t="s">
        <v>222</v>
      </c>
      <c r="B321" s="295" t="str">
        <f t="shared" si="12"/>
        <v>ML</v>
      </c>
      <c r="C321" s="295">
        <f t="shared" si="13"/>
        <v>0.5</v>
      </c>
      <c r="D321" s="252"/>
      <c r="E321" s="296">
        <f t="shared" si="16"/>
        <v>0</v>
      </c>
      <c r="F321" s="297">
        <f t="shared" si="14"/>
        <v>2.8650000000000002</v>
      </c>
      <c r="G321" s="298">
        <f t="shared" si="15"/>
        <v>1.875</v>
      </c>
      <c r="H321" s="296">
        <f t="shared" si="17"/>
        <v>0</v>
      </c>
      <c r="I321" s="299">
        <f t="shared" si="18"/>
        <v>0</v>
      </c>
    </row>
    <row r="322" spans="1:9" x14ac:dyDescent="0.25">
      <c r="A322" s="256" t="s">
        <v>114</v>
      </c>
      <c r="B322" s="251" t="str">
        <f t="shared" si="12"/>
        <v>ML</v>
      </c>
      <c r="C322" s="251">
        <f t="shared" si="13"/>
        <v>1</v>
      </c>
      <c r="D322" s="257"/>
      <c r="E322" s="253">
        <f t="shared" si="16"/>
        <v>0</v>
      </c>
      <c r="F322" s="189">
        <f t="shared" si="14"/>
        <v>5.73</v>
      </c>
      <c r="G322" s="254">
        <f t="shared" si="15"/>
        <v>3.75</v>
      </c>
      <c r="H322" s="253">
        <f t="shared" si="17"/>
        <v>0</v>
      </c>
      <c r="I322" s="255">
        <f t="shared" si="18"/>
        <v>0</v>
      </c>
    </row>
    <row r="323" spans="1:9" x14ac:dyDescent="0.25">
      <c r="A323" s="245" t="s">
        <v>223</v>
      </c>
      <c r="B323" s="295" t="str">
        <f t="shared" si="12"/>
        <v>ML</v>
      </c>
      <c r="C323" s="295">
        <f t="shared" si="13"/>
        <v>1.5</v>
      </c>
      <c r="D323" s="252"/>
      <c r="E323" s="296">
        <f t="shared" si="16"/>
        <v>0</v>
      </c>
      <c r="F323" s="297">
        <f t="shared" si="14"/>
        <v>8.5950000000000006</v>
      </c>
      <c r="G323" s="298">
        <f t="shared" si="15"/>
        <v>5.625</v>
      </c>
      <c r="H323" s="296">
        <f t="shared" si="17"/>
        <v>0</v>
      </c>
      <c r="I323" s="299">
        <f t="shared" si="18"/>
        <v>0</v>
      </c>
    </row>
    <row r="324" spans="1:9" x14ac:dyDescent="0.25">
      <c r="A324" s="256" t="s">
        <v>224</v>
      </c>
      <c r="B324" s="251" t="str">
        <f t="shared" si="12"/>
        <v>ML</v>
      </c>
      <c r="C324" s="251">
        <f t="shared" si="13"/>
        <v>2</v>
      </c>
      <c r="D324" s="257"/>
      <c r="E324" s="253">
        <f t="shared" si="16"/>
        <v>0</v>
      </c>
      <c r="F324" s="189">
        <f t="shared" si="14"/>
        <v>11.46</v>
      </c>
      <c r="G324" s="254">
        <f t="shared" si="15"/>
        <v>7.5</v>
      </c>
      <c r="H324" s="253">
        <f t="shared" si="17"/>
        <v>0</v>
      </c>
      <c r="I324" s="255">
        <f t="shared" si="18"/>
        <v>0</v>
      </c>
    </row>
    <row r="325" spans="1:9" x14ac:dyDescent="0.25">
      <c r="A325" s="245" t="s">
        <v>225</v>
      </c>
      <c r="B325" s="295" t="str">
        <f t="shared" si="12"/>
        <v>ML</v>
      </c>
      <c r="C325" s="295">
        <f t="shared" si="13"/>
        <v>2.5</v>
      </c>
      <c r="D325" s="252"/>
      <c r="E325" s="296">
        <f t="shared" si="16"/>
        <v>0</v>
      </c>
      <c r="F325" s="297">
        <f t="shared" si="14"/>
        <v>14.325000000000001</v>
      </c>
      <c r="G325" s="298">
        <f t="shared" si="15"/>
        <v>9.375</v>
      </c>
      <c r="H325" s="296">
        <f t="shared" si="17"/>
        <v>0</v>
      </c>
      <c r="I325" s="299">
        <f t="shared" si="18"/>
        <v>0</v>
      </c>
    </row>
    <row r="326" spans="1:9" x14ac:dyDescent="0.25">
      <c r="A326" s="256" t="s">
        <v>226</v>
      </c>
      <c r="B326" s="251" t="str">
        <f t="shared" si="12"/>
        <v>ML</v>
      </c>
      <c r="C326" s="251">
        <f t="shared" si="13"/>
        <v>3</v>
      </c>
      <c r="D326" s="257"/>
      <c r="E326" s="253">
        <f t="shared" si="16"/>
        <v>0</v>
      </c>
      <c r="F326" s="189">
        <f t="shared" si="14"/>
        <v>17.190000000000001</v>
      </c>
      <c r="G326" s="254">
        <f t="shared" si="15"/>
        <v>11.25</v>
      </c>
      <c r="H326" s="253">
        <f t="shared" si="17"/>
        <v>0</v>
      </c>
      <c r="I326" s="255">
        <f t="shared" si="18"/>
        <v>0</v>
      </c>
    </row>
    <row r="327" spans="1:9" x14ac:dyDescent="0.25">
      <c r="A327" s="245" t="s">
        <v>227</v>
      </c>
      <c r="B327" s="295" t="str">
        <f t="shared" si="12"/>
        <v>ML</v>
      </c>
      <c r="C327" s="295">
        <f t="shared" si="13"/>
        <v>0.8</v>
      </c>
      <c r="D327" s="252"/>
      <c r="E327" s="296">
        <f t="shared" si="16"/>
        <v>0</v>
      </c>
      <c r="F327" s="297">
        <f t="shared" si="14"/>
        <v>3.7</v>
      </c>
      <c r="G327" s="298">
        <f t="shared" si="15"/>
        <v>3</v>
      </c>
      <c r="H327" s="296">
        <f t="shared" si="17"/>
        <v>0</v>
      </c>
      <c r="I327" s="299">
        <f t="shared" si="18"/>
        <v>0</v>
      </c>
    </row>
    <row r="328" spans="1:9" x14ac:dyDescent="0.25">
      <c r="A328" s="256" t="s">
        <v>228</v>
      </c>
      <c r="B328" s="251" t="str">
        <f t="shared" ref="B328:B364" si="22">VLOOKUP($A328,$A$398:$P$486,5,FALSE)</f>
        <v>ML</v>
      </c>
      <c r="C328" s="251">
        <f t="shared" ref="C328:C364" si="23">VLOOKUP($A328,$A$398:$P$486,6,FALSE)</f>
        <v>1</v>
      </c>
      <c r="D328" s="257"/>
      <c r="E328" s="253">
        <f t="shared" si="16"/>
        <v>0</v>
      </c>
      <c r="F328" s="189">
        <f t="shared" ref="F328:F364" si="24">VLOOKUP($A328,$A$398:$P$486,2,FALSE)</f>
        <v>3.7</v>
      </c>
      <c r="G328" s="254">
        <f t="shared" ref="G328:G364" si="25">VLOOKUP($A328,$A$398:$M$486,12,FALSE)</f>
        <v>3.75</v>
      </c>
      <c r="H328" s="253">
        <f t="shared" si="17"/>
        <v>0</v>
      </c>
      <c r="I328" s="255">
        <f t="shared" si="18"/>
        <v>0</v>
      </c>
    </row>
    <row r="329" spans="1:9" x14ac:dyDescent="0.25">
      <c r="A329" s="245" t="s">
        <v>229</v>
      </c>
      <c r="B329" s="295" t="str">
        <f t="shared" si="22"/>
        <v>ML</v>
      </c>
      <c r="C329" s="295">
        <f t="shared" si="23"/>
        <v>1.2</v>
      </c>
      <c r="D329" s="252"/>
      <c r="E329" s="296">
        <f t="shared" si="16"/>
        <v>0</v>
      </c>
      <c r="F329" s="297">
        <f t="shared" si="24"/>
        <v>4.4400000000000004</v>
      </c>
      <c r="G329" s="298">
        <f t="shared" si="25"/>
        <v>4.5</v>
      </c>
      <c r="H329" s="296">
        <f t="shared" si="17"/>
        <v>0</v>
      </c>
      <c r="I329" s="299">
        <f t="shared" si="18"/>
        <v>0</v>
      </c>
    </row>
    <row r="330" spans="1:9" x14ac:dyDescent="0.25">
      <c r="A330" s="256" t="s">
        <v>230</v>
      </c>
      <c r="B330" s="251" t="str">
        <f t="shared" si="22"/>
        <v>ML</v>
      </c>
      <c r="C330" s="251">
        <f t="shared" si="23"/>
        <v>1.7</v>
      </c>
      <c r="D330" s="257"/>
      <c r="E330" s="253">
        <f t="shared" si="16"/>
        <v>0</v>
      </c>
      <c r="F330" s="189">
        <f t="shared" si="24"/>
        <v>6.29</v>
      </c>
      <c r="G330" s="254">
        <f t="shared" si="25"/>
        <v>6.375</v>
      </c>
      <c r="H330" s="253">
        <f t="shared" si="17"/>
        <v>0</v>
      </c>
      <c r="I330" s="255">
        <f t="shared" si="18"/>
        <v>0</v>
      </c>
    </row>
    <row r="331" spans="1:9" x14ac:dyDescent="0.25">
      <c r="A331" s="245" t="s">
        <v>231</v>
      </c>
      <c r="B331" s="295" t="str">
        <f t="shared" si="22"/>
        <v>ML</v>
      </c>
      <c r="C331" s="295">
        <f t="shared" si="23"/>
        <v>2.2000000000000002</v>
      </c>
      <c r="D331" s="252"/>
      <c r="E331" s="296">
        <f t="shared" si="16"/>
        <v>0</v>
      </c>
      <c r="F331" s="297">
        <f t="shared" si="24"/>
        <v>8.14</v>
      </c>
      <c r="G331" s="298">
        <f t="shared" si="25"/>
        <v>8.25</v>
      </c>
      <c r="H331" s="296">
        <f t="shared" si="17"/>
        <v>0</v>
      </c>
      <c r="I331" s="299">
        <f t="shared" si="18"/>
        <v>0</v>
      </c>
    </row>
    <row r="332" spans="1:9" x14ac:dyDescent="0.25">
      <c r="A332" s="256" t="s">
        <v>232</v>
      </c>
      <c r="B332" s="251" t="str">
        <f t="shared" si="22"/>
        <v>ML</v>
      </c>
      <c r="C332" s="251">
        <f t="shared" si="23"/>
        <v>2.4</v>
      </c>
      <c r="D332" s="257"/>
      <c r="E332" s="253">
        <f t="shared" si="16"/>
        <v>0</v>
      </c>
      <c r="F332" s="189">
        <f t="shared" si="24"/>
        <v>8.14</v>
      </c>
      <c r="G332" s="254">
        <f t="shared" si="25"/>
        <v>9</v>
      </c>
      <c r="H332" s="253">
        <f t="shared" si="17"/>
        <v>0</v>
      </c>
      <c r="I332" s="255">
        <f t="shared" si="18"/>
        <v>0</v>
      </c>
    </row>
    <row r="333" spans="1:9" x14ac:dyDescent="0.25">
      <c r="A333" s="245" t="s">
        <v>233</v>
      </c>
      <c r="B333" s="295" t="str">
        <f t="shared" si="22"/>
        <v>ML</v>
      </c>
      <c r="C333" s="295">
        <f t="shared" si="23"/>
        <v>2.5</v>
      </c>
      <c r="D333" s="252"/>
      <c r="E333" s="296">
        <f t="shared" si="16"/>
        <v>0</v>
      </c>
      <c r="F333" s="297">
        <f t="shared" si="24"/>
        <v>8.8800000000000008</v>
      </c>
      <c r="G333" s="298">
        <f t="shared" si="25"/>
        <v>9.375</v>
      </c>
      <c r="H333" s="296">
        <f t="shared" si="17"/>
        <v>0</v>
      </c>
      <c r="I333" s="299">
        <f t="shared" si="18"/>
        <v>0</v>
      </c>
    </row>
    <row r="334" spans="1:9" x14ac:dyDescent="0.25">
      <c r="A334" s="256" t="s">
        <v>234</v>
      </c>
      <c r="B334" s="251" t="str">
        <f t="shared" si="22"/>
        <v>ML</v>
      </c>
      <c r="C334" s="251">
        <f t="shared" si="23"/>
        <v>0.8</v>
      </c>
      <c r="D334" s="257"/>
      <c r="E334" s="253">
        <f t="shared" si="16"/>
        <v>0</v>
      </c>
      <c r="F334" s="189">
        <f t="shared" si="24"/>
        <v>2.9600000000000004</v>
      </c>
      <c r="G334" s="254">
        <f t="shared" si="25"/>
        <v>3</v>
      </c>
      <c r="H334" s="253">
        <f t="shared" si="17"/>
        <v>0</v>
      </c>
      <c r="I334" s="255">
        <f t="shared" si="18"/>
        <v>0</v>
      </c>
    </row>
    <row r="335" spans="1:9" x14ac:dyDescent="0.25">
      <c r="A335" s="245" t="s">
        <v>235</v>
      </c>
      <c r="B335" s="295" t="str">
        <f t="shared" si="22"/>
        <v>ML</v>
      </c>
      <c r="C335" s="295">
        <f t="shared" si="23"/>
        <v>1</v>
      </c>
      <c r="D335" s="252"/>
      <c r="E335" s="296">
        <f t="shared" si="16"/>
        <v>0</v>
      </c>
      <c r="F335" s="297">
        <f t="shared" si="24"/>
        <v>3.7</v>
      </c>
      <c r="G335" s="298">
        <f t="shared" si="25"/>
        <v>3.75</v>
      </c>
      <c r="H335" s="296">
        <f t="shared" si="17"/>
        <v>0</v>
      </c>
      <c r="I335" s="299">
        <f t="shared" si="18"/>
        <v>0</v>
      </c>
    </row>
    <row r="336" spans="1:9" x14ac:dyDescent="0.25">
      <c r="A336" s="256" t="s">
        <v>236</v>
      </c>
      <c r="B336" s="251" t="str">
        <f t="shared" si="22"/>
        <v>ML</v>
      </c>
      <c r="C336" s="251">
        <f t="shared" si="23"/>
        <v>1.2</v>
      </c>
      <c r="D336" s="257"/>
      <c r="E336" s="253">
        <f t="shared" si="16"/>
        <v>0</v>
      </c>
      <c r="F336" s="189">
        <f t="shared" si="24"/>
        <v>4.4400000000000004</v>
      </c>
      <c r="G336" s="254">
        <f t="shared" si="25"/>
        <v>4.5</v>
      </c>
      <c r="H336" s="253">
        <f t="shared" si="17"/>
        <v>0</v>
      </c>
      <c r="I336" s="255">
        <f t="shared" si="18"/>
        <v>0</v>
      </c>
    </row>
    <row r="337" spans="1:12" x14ac:dyDescent="0.25">
      <c r="A337" s="245" t="s">
        <v>237</v>
      </c>
      <c r="B337" s="295" t="str">
        <f t="shared" si="22"/>
        <v>ML</v>
      </c>
      <c r="C337" s="295">
        <f t="shared" si="23"/>
        <v>1.7</v>
      </c>
      <c r="D337" s="252"/>
      <c r="E337" s="296">
        <f t="shared" si="16"/>
        <v>0</v>
      </c>
      <c r="F337" s="297">
        <f t="shared" si="24"/>
        <v>6.29</v>
      </c>
      <c r="G337" s="298">
        <f t="shared" si="25"/>
        <v>6.375</v>
      </c>
      <c r="H337" s="296">
        <f t="shared" si="17"/>
        <v>0</v>
      </c>
      <c r="I337" s="299">
        <f t="shared" si="18"/>
        <v>0</v>
      </c>
    </row>
    <row r="338" spans="1:12" x14ac:dyDescent="0.25">
      <c r="A338" s="256" t="s">
        <v>238</v>
      </c>
      <c r="B338" s="251" t="str">
        <f t="shared" si="22"/>
        <v>ML</v>
      </c>
      <c r="C338" s="251">
        <f t="shared" si="23"/>
        <v>2.2000000000000002</v>
      </c>
      <c r="D338" s="257"/>
      <c r="E338" s="253">
        <f t="shared" si="16"/>
        <v>0</v>
      </c>
      <c r="F338" s="189">
        <f t="shared" si="24"/>
        <v>8.14</v>
      </c>
      <c r="G338" s="254">
        <f t="shared" si="25"/>
        <v>8.25</v>
      </c>
      <c r="H338" s="253">
        <f t="shared" si="17"/>
        <v>0</v>
      </c>
      <c r="I338" s="255">
        <f t="shared" si="18"/>
        <v>0</v>
      </c>
    </row>
    <row r="339" spans="1:12" x14ac:dyDescent="0.25">
      <c r="A339" s="245" t="s">
        <v>239</v>
      </c>
      <c r="B339" s="295" t="str">
        <f t="shared" si="22"/>
        <v>ML</v>
      </c>
      <c r="C339" s="295">
        <f t="shared" si="23"/>
        <v>2.4</v>
      </c>
      <c r="D339" s="252"/>
      <c r="E339" s="296">
        <f t="shared" si="16"/>
        <v>0</v>
      </c>
      <c r="F339" s="297">
        <f t="shared" si="24"/>
        <v>8.8800000000000008</v>
      </c>
      <c r="G339" s="298">
        <f t="shared" si="25"/>
        <v>9</v>
      </c>
      <c r="H339" s="296">
        <f t="shared" si="17"/>
        <v>0</v>
      </c>
      <c r="I339" s="299">
        <f t="shared" si="18"/>
        <v>0</v>
      </c>
    </row>
    <row r="340" spans="1:12" x14ac:dyDescent="0.25">
      <c r="A340" s="256" t="s">
        <v>240</v>
      </c>
      <c r="B340" s="251" t="str">
        <f t="shared" si="22"/>
        <v>ML</v>
      </c>
      <c r="C340" s="251">
        <f t="shared" si="23"/>
        <v>2.5</v>
      </c>
      <c r="D340" s="257"/>
      <c r="E340" s="253">
        <f t="shared" si="16"/>
        <v>0</v>
      </c>
      <c r="F340" s="189">
        <f t="shared" si="24"/>
        <v>9.25</v>
      </c>
      <c r="G340" s="254">
        <f t="shared" si="25"/>
        <v>9.375</v>
      </c>
      <c r="H340" s="253">
        <f t="shared" si="17"/>
        <v>0</v>
      </c>
      <c r="I340" s="255">
        <f t="shared" si="18"/>
        <v>0</v>
      </c>
    </row>
    <row r="341" spans="1:12" x14ac:dyDescent="0.25">
      <c r="A341" s="245" t="s">
        <v>241</v>
      </c>
      <c r="B341" s="295" t="str">
        <f t="shared" si="22"/>
        <v>ML</v>
      </c>
      <c r="C341" s="295">
        <f t="shared" si="23"/>
        <v>2.3199999999999998</v>
      </c>
      <c r="D341" s="252"/>
      <c r="E341" s="296">
        <f t="shared" si="16"/>
        <v>0</v>
      </c>
      <c r="F341" s="297">
        <f t="shared" si="24"/>
        <v>8.5839999999999996</v>
      </c>
      <c r="G341" s="298">
        <f>VLOOKUP($A341,$A$398:$M$486,12,FALSE)</f>
        <v>8.2823999999999991</v>
      </c>
      <c r="H341" s="296">
        <f t="shared" si="17"/>
        <v>0</v>
      </c>
      <c r="I341" s="299">
        <f t="shared" si="18"/>
        <v>0</v>
      </c>
    </row>
    <row r="342" spans="1:12" x14ac:dyDescent="0.25">
      <c r="A342" s="256" t="s">
        <v>242</v>
      </c>
      <c r="B342" s="251" t="str">
        <f t="shared" si="22"/>
        <v>ML</v>
      </c>
      <c r="C342" s="251">
        <f t="shared" si="23"/>
        <v>2.6</v>
      </c>
      <c r="D342" s="257"/>
      <c r="E342" s="253">
        <f t="shared" si="16"/>
        <v>0</v>
      </c>
      <c r="F342" s="189">
        <f t="shared" si="24"/>
        <v>9.620000000000001</v>
      </c>
      <c r="G342" s="254">
        <f t="shared" si="25"/>
        <v>9.282</v>
      </c>
      <c r="H342" s="253">
        <f t="shared" si="17"/>
        <v>0</v>
      </c>
      <c r="I342" s="255">
        <f t="shared" si="18"/>
        <v>0</v>
      </c>
    </row>
    <row r="343" spans="1:12" x14ac:dyDescent="0.25">
      <c r="A343" s="245" t="s">
        <v>243</v>
      </c>
      <c r="B343" s="295" t="str">
        <f t="shared" si="22"/>
        <v>ML</v>
      </c>
      <c r="C343" s="295">
        <f t="shared" si="23"/>
        <v>2.95</v>
      </c>
      <c r="D343" s="252"/>
      <c r="E343" s="296">
        <f t="shared" si="16"/>
        <v>0</v>
      </c>
      <c r="F343" s="297">
        <f t="shared" si="24"/>
        <v>10.915000000000001</v>
      </c>
      <c r="G343" s="298">
        <f t="shared" si="25"/>
        <v>10.531499999999999</v>
      </c>
      <c r="H343" s="296">
        <f t="shared" si="17"/>
        <v>0</v>
      </c>
      <c r="I343" s="299">
        <f t="shared" si="18"/>
        <v>0</v>
      </c>
    </row>
    <row r="344" spans="1:12" x14ac:dyDescent="0.25">
      <c r="A344" s="256" t="s">
        <v>244</v>
      </c>
      <c r="B344" s="251" t="str">
        <f t="shared" si="22"/>
        <v>ML</v>
      </c>
      <c r="C344" s="251">
        <f t="shared" si="23"/>
        <v>3.08</v>
      </c>
      <c r="D344" s="257"/>
      <c r="E344" s="253">
        <f t="shared" si="16"/>
        <v>0</v>
      </c>
      <c r="F344" s="189">
        <f t="shared" si="24"/>
        <v>11.396000000000001</v>
      </c>
      <c r="G344" s="254">
        <f t="shared" si="25"/>
        <v>10.9956</v>
      </c>
      <c r="H344" s="253">
        <f t="shared" si="17"/>
        <v>0</v>
      </c>
      <c r="I344" s="255">
        <f t="shared" si="18"/>
        <v>0</v>
      </c>
      <c r="K344" s="181"/>
      <c r="L344" s="181"/>
    </row>
    <row r="345" spans="1:12" x14ac:dyDescent="0.25">
      <c r="A345" s="245" t="s">
        <v>115</v>
      </c>
      <c r="B345" s="295" t="str">
        <f t="shared" si="22"/>
        <v>PÇ</v>
      </c>
      <c r="C345" s="295">
        <f t="shared" si="23"/>
        <v>1</v>
      </c>
      <c r="D345" s="252"/>
      <c r="E345" s="296">
        <f t="shared" si="16"/>
        <v>0</v>
      </c>
      <c r="F345" s="297">
        <f t="shared" si="24"/>
        <v>1.2</v>
      </c>
      <c r="G345" s="298">
        <f t="shared" si="25"/>
        <v>3.12</v>
      </c>
      <c r="H345" s="296">
        <f t="shared" si="17"/>
        <v>0</v>
      </c>
      <c r="I345" s="299">
        <f t="shared" si="18"/>
        <v>0</v>
      </c>
    </row>
    <row r="346" spans="1:12" x14ac:dyDescent="0.25">
      <c r="A346" s="256" t="s">
        <v>117</v>
      </c>
      <c r="B346" s="251" t="str">
        <f t="shared" si="22"/>
        <v>PÇ</v>
      </c>
      <c r="C346" s="251">
        <f t="shared" si="23"/>
        <v>1</v>
      </c>
      <c r="D346" s="257"/>
      <c r="E346" s="253">
        <f t="shared" si="16"/>
        <v>0</v>
      </c>
      <c r="F346" s="189">
        <f t="shared" si="24"/>
        <v>1.25</v>
      </c>
      <c r="G346" s="254">
        <f t="shared" si="25"/>
        <v>3.35</v>
      </c>
      <c r="H346" s="253">
        <f t="shared" si="17"/>
        <v>0</v>
      </c>
      <c r="I346" s="255">
        <f t="shared" si="18"/>
        <v>0</v>
      </c>
    </row>
    <row r="347" spans="1:12" x14ac:dyDescent="0.25">
      <c r="A347" s="245" t="s">
        <v>84</v>
      </c>
      <c r="B347" s="295" t="str">
        <f t="shared" si="22"/>
        <v>PÇ</v>
      </c>
      <c r="C347" s="295">
        <f t="shared" si="23"/>
        <v>1</v>
      </c>
      <c r="D347" s="252"/>
      <c r="E347" s="296">
        <f t="shared" si="16"/>
        <v>0</v>
      </c>
      <c r="F347" s="297">
        <f t="shared" si="24"/>
        <v>3</v>
      </c>
      <c r="G347" s="298">
        <f t="shared" si="25"/>
        <v>2.31</v>
      </c>
      <c r="H347" s="296">
        <f t="shared" si="17"/>
        <v>0</v>
      </c>
      <c r="I347" s="299">
        <f t="shared" si="18"/>
        <v>0</v>
      </c>
    </row>
    <row r="348" spans="1:12" x14ac:dyDescent="0.25">
      <c r="A348" s="256" t="s">
        <v>85</v>
      </c>
      <c r="B348" s="251" t="str">
        <f t="shared" si="22"/>
        <v>PÇ</v>
      </c>
      <c r="C348" s="251">
        <f t="shared" si="23"/>
        <v>1</v>
      </c>
      <c r="D348" s="257"/>
      <c r="E348" s="253">
        <f t="shared" si="16"/>
        <v>0</v>
      </c>
      <c r="F348" s="189">
        <f t="shared" si="24"/>
        <v>3</v>
      </c>
      <c r="G348" s="254">
        <f t="shared" si="25"/>
        <v>2.31</v>
      </c>
      <c r="H348" s="253">
        <f t="shared" si="17"/>
        <v>0</v>
      </c>
      <c r="I348" s="255">
        <f t="shared" si="18"/>
        <v>0</v>
      </c>
    </row>
    <row r="349" spans="1:12" x14ac:dyDescent="0.25">
      <c r="A349" s="245" t="s">
        <v>118</v>
      </c>
      <c r="B349" s="295" t="str">
        <f t="shared" si="22"/>
        <v>PÇ</v>
      </c>
      <c r="C349" s="295">
        <f t="shared" si="23"/>
        <v>1</v>
      </c>
      <c r="D349" s="252"/>
      <c r="E349" s="296">
        <f t="shared" si="16"/>
        <v>0</v>
      </c>
      <c r="F349" s="297">
        <f t="shared" si="24"/>
        <v>3</v>
      </c>
      <c r="G349" s="298">
        <f t="shared" si="25"/>
        <v>2.31</v>
      </c>
      <c r="H349" s="296">
        <f t="shared" si="17"/>
        <v>0</v>
      </c>
      <c r="I349" s="299">
        <f t="shared" si="18"/>
        <v>0</v>
      </c>
    </row>
    <row r="350" spans="1:12" x14ac:dyDescent="0.25">
      <c r="A350" s="256" t="s">
        <v>119</v>
      </c>
      <c r="B350" s="251" t="str">
        <f t="shared" si="22"/>
        <v>PÇ</v>
      </c>
      <c r="C350" s="251">
        <f t="shared" si="23"/>
        <v>1</v>
      </c>
      <c r="D350" s="257"/>
      <c r="E350" s="253">
        <f t="shared" si="16"/>
        <v>0</v>
      </c>
      <c r="F350" s="189">
        <f t="shared" si="24"/>
        <v>1.1000000000000001</v>
      </c>
      <c r="G350" s="254">
        <f t="shared" si="25"/>
        <v>2.31</v>
      </c>
      <c r="H350" s="253">
        <f t="shared" si="17"/>
        <v>0</v>
      </c>
      <c r="I350" s="255">
        <f t="shared" si="18"/>
        <v>0</v>
      </c>
    </row>
    <row r="351" spans="1:12" x14ac:dyDescent="0.25">
      <c r="A351" s="245" t="s">
        <v>88</v>
      </c>
      <c r="B351" s="295" t="str">
        <f t="shared" si="22"/>
        <v>PÇ</v>
      </c>
      <c r="C351" s="295">
        <f t="shared" si="23"/>
        <v>1</v>
      </c>
      <c r="D351" s="252"/>
      <c r="E351" s="296">
        <f t="shared" si="16"/>
        <v>0</v>
      </c>
      <c r="F351" s="297">
        <f t="shared" si="24"/>
        <v>1.24</v>
      </c>
      <c r="G351" s="298">
        <f t="shared" si="25"/>
        <v>2.89</v>
      </c>
      <c r="H351" s="296">
        <f t="shared" si="17"/>
        <v>0</v>
      </c>
      <c r="I351" s="299">
        <f t="shared" si="18"/>
        <v>0</v>
      </c>
    </row>
    <row r="352" spans="1:12" x14ac:dyDescent="0.25">
      <c r="A352" s="256" t="s">
        <v>89</v>
      </c>
      <c r="B352" s="251" t="str">
        <f t="shared" si="22"/>
        <v>PÇ</v>
      </c>
      <c r="C352" s="251">
        <f t="shared" si="23"/>
        <v>1</v>
      </c>
      <c r="D352" s="257"/>
      <c r="E352" s="253">
        <f t="shared" si="16"/>
        <v>0</v>
      </c>
      <c r="F352" s="189">
        <f t="shared" si="24"/>
        <v>3.3</v>
      </c>
      <c r="G352" s="254">
        <f t="shared" si="25"/>
        <v>4.45</v>
      </c>
      <c r="H352" s="253">
        <f t="shared" si="17"/>
        <v>0</v>
      </c>
      <c r="I352" s="255">
        <f t="shared" si="18"/>
        <v>0</v>
      </c>
    </row>
    <row r="353" spans="1:13" x14ac:dyDescent="0.25">
      <c r="A353" s="245" t="s">
        <v>90</v>
      </c>
      <c r="B353" s="295" t="str">
        <f t="shared" si="22"/>
        <v>PÇ</v>
      </c>
      <c r="C353" s="295">
        <f t="shared" si="23"/>
        <v>1</v>
      </c>
      <c r="D353" s="252"/>
      <c r="E353" s="296">
        <f t="shared" si="16"/>
        <v>0</v>
      </c>
      <c r="F353" s="297">
        <f t="shared" si="24"/>
        <v>12</v>
      </c>
      <c r="G353" s="298">
        <f t="shared" si="25"/>
        <v>20.79</v>
      </c>
      <c r="H353" s="296">
        <f t="shared" si="17"/>
        <v>0</v>
      </c>
      <c r="I353" s="299">
        <f t="shared" si="18"/>
        <v>0</v>
      </c>
    </row>
    <row r="354" spans="1:13" x14ac:dyDescent="0.25">
      <c r="A354" s="256" t="s">
        <v>91</v>
      </c>
      <c r="B354" s="251" t="str">
        <f t="shared" si="22"/>
        <v>PÇ</v>
      </c>
      <c r="C354" s="251">
        <f t="shared" si="23"/>
        <v>1</v>
      </c>
      <c r="D354" s="257"/>
      <c r="E354" s="253">
        <f t="shared" si="16"/>
        <v>0</v>
      </c>
      <c r="F354" s="189">
        <f t="shared" si="24"/>
        <v>14</v>
      </c>
      <c r="G354" s="254">
        <f t="shared" si="25"/>
        <v>25.41</v>
      </c>
      <c r="H354" s="253">
        <f t="shared" si="17"/>
        <v>0</v>
      </c>
      <c r="I354" s="255">
        <f t="shared" si="18"/>
        <v>0</v>
      </c>
    </row>
    <row r="355" spans="1:13" x14ac:dyDescent="0.25">
      <c r="A355" s="245" t="s">
        <v>245</v>
      </c>
      <c r="B355" s="295" t="str">
        <f t="shared" si="22"/>
        <v>PC</v>
      </c>
      <c r="C355" s="295">
        <f t="shared" si="23"/>
        <v>0.5</v>
      </c>
      <c r="D355" s="252"/>
      <c r="E355" s="296">
        <f t="shared" si="16"/>
        <v>0</v>
      </c>
      <c r="F355" s="297">
        <f t="shared" si="24"/>
        <v>1.85</v>
      </c>
      <c r="G355" s="298">
        <f t="shared" si="25"/>
        <v>1.2749999999999999</v>
      </c>
      <c r="H355" s="296">
        <f t="shared" si="17"/>
        <v>0</v>
      </c>
      <c r="I355" s="299">
        <f t="shared" si="18"/>
        <v>0</v>
      </c>
    </row>
    <row r="356" spans="1:13" x14ac:dyDescent="0.25">
      <c r="A356" s="256" t="s">
        <v>246</v>
      </c>
      <c r="B356" s="251" t="str">
        <f t="shared" si="22"/>
        <v>PÇ</v>
      </c>
      <c r="C356" s="251">
        <f t="shared" si="23"/>
        <v>1</v>
      </c>
      <c r="D356" s="257"/>
      <c r="E356" s="253">
        <f t="shared" si="16"/>
        <v>0</v>
      </c>
      <c r="F356" s="189">
        <f t="shared" si="24"/>
        <v>58.25</v>
      </c>
      <c r="G356" s="254">
        <f t="shared" si="25"/>
        <v>144.38</v>
      </c>
      <c r="H356" s="253">
        <f t="shared" si="17"/>
        <v>0</v>
      </c>
      <c r="I356" s="255">
        <f t="shared" si="18"/>
        <v>0</v>
      </c>
    </row>
    <row r="357" spans="1:13" x14ac:dyDescent="0.25">
      <c r="A357" s="245" t="s">
        <v>247</v>
      </c>
      <c r="B357" s="295" t="str">
        <f t="shared" si="22"/>
        <v>PÇ</v>
      </c>
      <c r="C357" s="295">
        <f t="shared" si="23"/>
        <v>1</v>
      </c>
      <c r="D357" s="252"/>
      <c r="E357" s="296">
        <f t="shared" si="16"/>
        <v>0</v>
      </c>
      <c r="F357" s="297">
        <f t="shared" si="24"/>
        <v>15</v>
      </c>
      <c r="G357" s="298">
        <f t="shared" si="25"/>
        <v>17.329999999999998</v>
      </c>
      <c r="H357" s="296">
        <f t="shared" si="17"/>
        <v>0</v>
      </c>
      <c r="I357" s="299">
        <f t="shared" si="18"/>
        <v>0</v>
      </c>
    </row>
    <row r="358" spans="1:13" x14ac:dyDescent="0.25">
      <c r="A358" s="256" t="s">
        <v>151</v>
      </c>
      <c r="B358" s="251" t="str">
        <f t="shared" si="22"/>
        <v>PÇ</v>
      </c>
      <c r="C358" s="251">
        <f t="shared" si="23"/>
        <v>1</v>
      </c>
      <c r="D358" s="257"/>
      <c r="E358" s="253">
        <f t="shared" si="16"/>
        <v>0</v>
      </c>
      <c r="F358" s="189">
        <f t="shared" si="24"/>
        <v>7.5</v>
      </c>
      <c r="G358" s="254">
        <f t="shared" si="25"/>
        <v>41.58</v>
      </c>
      <c r="H358" s="253">
        <f t="shared" si="17"/>
        <v>0</v>
      </c>
      <c r="I358" s="255">
        <f t="shared" si="18"/>
        <v>0</v>
      </c>
    </row>
    <row r="359" spans="1:13" x14ac:dyDescent="0.25">
      <c r="A359" s="245" t="s">
        <v>268</v>
      </c>
      <c r="B359" s="295" t="str">
        <f t="shared" si="22"/>
        <v>PÇ</v>
      </c>
      <c r="C359" s="295">
        <f t="shared" si="23"/>
        <v>1</v>
      </c>
      <c r="D359" s="252"/>
      <c r="E359" s="296">
        <f t="shared" si="16"/>
        <v>0</v>
      </c>
      <c r="F359" s="297">
        <f t="shared" si="24"/>
        <v>3.5</v>
      </c>
      <c r="G359" s="298">
        <f t="shared" si="25"/>
        <v>41.58</v>
      </c>
      <c r="H359" s="296">
        <f t="shared" si="17"/>
        <v>0</v>
      </c>
      <c r="I359" s="299">
        <f t="shared" si="18"/>
        <v>0</v>
      </c>
    </row>
    <row r="360" spans="1:13" x14ac:dyDescent="0.25">
      <c r="A360" s="256" t="s">
        <v>120</v>
      </c>
      <c r="B360" s="251" t="str">
        <f t="shared" si="22"/>
        <v>ML</v>
      </c>
      <c r="C360" s="251">
        <f t="shared" si="23"/>
        <v>1</v>
      </c>
      <c r="D360" s="257"/>
      <c r="E360" s="253">
        <f t="shared" si="16"/>
        <v>0</v>
      </c>
      <c r="F360" s="189">
        <f t="shared" si="24"/>
        <v>10</v>
      </c>
      <c r="G360" s="254">
        <f t="shared" si="25"/>
        <v>9.98</v>
      </c>
      <c r="H360" s="253">
        <f t="shared" si="17"/>
        <v>0</v>
      </c>
      <c r="I360" s="255">
        <f t="shared" si="18"/>
        <v>0</v>
      </c>
    </row>
    <row r="361" spans="1:13" x14ac:dyDescent="0.25">
      <c r="A361" s="245" t="s">
        <v>248</v>
      </c>
      <c r="B361" s="295" t="str">
        <f t="shared" si="22"/>
        <v>ML</v>
      </c>
      <c r="C361" s="295">
        <f t="shared" si="23"/>
        <v>1.5</v>
      </c>
      <c r="D361" s="252"/>
      <c r="E361" s="296">
        <f t="shared" si="16"/>
        <v>0</v>
      </c>
      <c r="F361" s="297">
        <f t="shared" si="24"/>
        <v>15</v>
      </c>
      <c r="G361" s="298">
        <f t="shared" si="25"/>
        <v>14.97</v>
      </c>
      <c r="H361" s="296">
        <f t="shared" si="17"/>
        <v>0</v>
      </c>
      <c r="I361" s="299">
        <f t="shared" si="18"/>
        <v>0</v>
      </c>
    </row>
    <row r="362" spans="1:13" x14ac:dyDescent="0.25">
      <c r="A362" s="256" t="s">
        <v>249</v>
      </c>
      <c r="B362" s="251" t="str">
        <f t="shared" si="22"/>
        <v>ML</v>
      </c>
      <c r="C362" s="251">
        <f t="shared" si="23"/>
        <v>2</v>
      </c>
      <c r="D362" s="257"/>
      <c r="E362" s="253">
        <f t="shared" si="16"/>
        <v>0</v>
      </c>
      <c r="F362" s="189">
        <f t="shared" si="24"/>
        <v>20</v>
      </c>
      <c r="G362" s="254">
        <f t="shared" si="25"/>
        <v>19.96</v>
      </c>
      <c r="H362" s="253">
        <f t="shared" si="17"/>
        <v>0</v>
      </c>
      <c r="I362" s="255">
        <f t="shared" si="18"/>
        <v>0</v>
      </c>
    </row>
    <row r="363" spans="1:13" x14ac:dyDescent="0.25">
      <c r="A363" s="245" t="s">
        <v>250</v>
      </c>
      <c r="B363" s="295" t="str">
        <f t="shared" si="22"/>
        <v>ML</v>
      </c>
      <c r="C363" s="295">
        <f t="shared" si="23"/>
        <v>2.5</v>
      </c>
      <c r="D363" s="252"/>
      <c r="E363" s="296">
        <f t="shared" si="16"/>
        <v>0</v>
      </c>
      <c r="F363" s="297">
        <f t="shared" si="24"/>
        <v>25</v>
      </c>
      <c r="G363" s="298">
        <f t="shared" si="25"/>
        <v>24.950000000000003</v>
      </c>
      <c r="H363" s="296">
        <f t="shared" si="17"/>
        <v>0</v>
      </c>
      <c r="I363" s="299">
        <f t="shared" si="18"/>
        <v>0</v>
      </c>
    </row>
    <row r="364" spans="1:13" x14ac:dyDescent="0.25">
      <c r="A364" s="256" t="s">
        <v>145</v>
      </c>
      <c r="B364" s="251" t="str">
        <f t="shared" si="22"/>
        <v>ML</v>
      </c>
      <c r="C364" s="251">
        <f t="shared" si="23"/>
        <v>3</v>
      </c>
      <c r="D364" s="257"/>
      <c r="E364" s="253">
        <f t="shared" si="16"/>
        <v>0</v>
      </c>
      <c r="F364" s="189">
        <f t="shared" si="24"/>
        <v>30</v>
      </c>
      <c r="G364" s="254">
        <f t="shared" si="25"/>
        <v>29.94</v>
      </c>
      <c r="H364" s="253">
        <f t="shared" si="17"/>
        <v>0</v>
      </c>
      <c r="I364" s="255">
        <f t="shared" si="18"/>
        <v>0</v>
      </c>
    </row>
    <row r="365" spans="1:13" x14ac:dyDescent="0.25">
      <c r="A365" s="245" t="s">
        <v>301</v>
      </c>
      <c r="B365" s="295" t="str">
        <f t="shared" ref="B365:B384" si="26">VLOOKUP($A365,$A$398:$P$486,5,FALSE)</f>
        <v>ML</v>
      </c>
      <c r="C365" s="295">
        <f t="shared" ref="C365:C384" si="27">VLOOKUP($A365,$A$398:$P$486,6,FALSE)</f>
        <v>3</v>
      </c>
      <c r="D365" s="252"/>
      <c r="E365" s="296">
        <f t="shared" ref="E365:E384" si="28">IFERROR(D365*C365,"")</f>
        <v>0</v>
      </c>
      <c r="F365" s="297">
        <f t="shared" ref="F365:F384" si="29">VLOOKUP($A365,$A$398:$P$486,2,FALSE)</f>
        <v>15.299999999999999</v>
      </c>
      <c r="G365" s="298">
        <f t="shared" ref="G365:G384" si="30">VLOOKUP($A365,$A$398:$M$486,12,FALSE)</f>
        <v>33.39</v>
      </c>
      <c r="H365" s="296">
        <f t="shared" ref="H365:H384" si="31">IFERROR(F365*D365,"")</f>
        <v>0</v>
      </c>
      <c r="I365" s="299">
        <f t="shared" ref="I365:I384" si="32">IFERROR(ROUND(G365*D365,2),"")</f>
        <v>0</v>
      </c>
    </row>
    <row r="366" spans="1:13" x14ac:dyDescent="0.25">
      <c r="A366" s="256" t="s">
        <v>251</v>
      </c>
      <c r="B366" s="251" t="str">
        <f t="shared" si="26"/>
        <v>ML</v>
      </c>
      <c r="C366" s="251">
        <f t="shared" si="27"/>
        <v>1</v>
      </c>
      <c r="D366" s="257"/>
      <c r="E366" s="253">
        <f t="shared" si="28"/>
        <v>0</v>
      </c>
      <c r="F366" s="189">
        <f t="shared" si="29"/>
        <v>4.5199999999999996</v>
      </c>
      <c r="G366" s="254">
        <f t="shared" si="30"/>
        <v>9.98</v>
      </c>
      <c r="H366" s="253">
        <f t="shared" si="31"/>
        <v>0</v>
      </c>
      <c r="I366" s="255">
        <f t="shared" si="32"/>
        <v>0</v>
      </c>
      <c r="K366" s="181"/>
      <c r="L366" s="181">
        <f>4*70*G366+200*G366</f>
        <v>4790.3999999999996</v>
      </c>
    </row>
    <row r="367" spans="1:13" x14ac:dyDescent="0.25">
      <c r="A367" s="245" t="s">
        <v>252</v>
      </c>
      <c r="B367" s="295" t="str">
        <f t="shared" si="26"/>
        <v>ML</v>
      </c>
      <c r="C367" s="295">
        <f t="shared" si="27"/>
        <v>1.5</v>
      </c>
      <c r="D367" s="252"/>
      <c r="E367" s="296">
        <f t="shared" si="28"/>
        <v>0</v>
      </c>
      <c r="F367" s="297">
        <f t="shared" si="29"/>
        <v>6.7799999999999994</v>
      </c>
      <c r="G367" s="298">
        <f t="shared" si="30"/>
        <v>14.97</v>
      </c>
      <c r="H367" s="296">
        <f t="shared" si="31"/>
        <v>0</v>
      </c>
      <c r="I367" s="299">
        <f t="shared" si="32"/>
        <v>0</v>
      </c>
      <c r="K367" s="181"/>
    </row>
    <row r="368" spans="1:13" x14ac:dyDescent="0.25">
      <c r="A368" s="256" t="s">
        <v>253</v>
      </c>
      <c r="B368" s="251" t="str">
        <f t="shared" si="26"/>
        <v>ML</v>
      </c>
      <c r="C368" s="251">
        <f t="shared" si="27"/>
        <v>2</v>
      </c>
      <c r="D368" s="257"/>
      <c r="E368" s="253">
        <f t="shared" si="28"/>
        <v>0</v>
      </c>
      <c r="F368" s="189">
        <f t="shared" si="29"/>
        <v>9.0399999999999991</v>
      </c>
      <c r="G368" s="254">
        <f t="shared" si="30"/>
        <v>19.96</v>
      </c>
      <c r="H368" s="253">
        <f t="shared" si="31"/>
        <v>0</v>
      </c>
      <c r="I368" s="255">
        <f t="shared" si="32"/>
        <v>0</v>
      </c>
      <c r="K368" s="181"/>
      <c r="L368" s="181"/>
      <c r="M368" s="181"/>
    </row>
    <row r="369" spans="1:25" x14ac:dyDescent="0.25">
      <c r="A369" s="245" t="s">
        <v>254</v>
      </c>
      <c r="B369" s="295" t="str">
        <f t="shared" si="26"/>
        <v>ML</v>
      </c>
      <c r="C369" s="295">
        <f t="shared" si="27"/>
        <v>2.5</v>
      </c>
      <c r="D369" s="252"/>
      <c r="E369" s="296">
        <f t="shared" si="28"/>
        <v>0</v>
      </c>
      <c r="F369" s="297">
        <f t="shared" si="29"/>
        <v>11.299999999999999</v>
      </c>
      <c r="G369" s="298">
        <f t="shared" si="30"/>
        <v>24.950000000000003</v>
      </c>
      <c r="H369" s="296">
        <f t="shared" si="31"/>
        <v>0</v>
      </c>
      <c r="I369" s="299">
        <f t="shared" si="32"/>
        <v>0</v>
      </c>
      <c r="K369" s="181"/>
    </row>
    <row r="370" spans="1:25" x14ac:dyDescent="0.25">
      <c r="A370" s="256" t="s">
        <v>255</v>
      </c>
      <c r="B370" s="251" t="str">
        <f t="shared" si="26"/>
        <v>ML</v>
      </c>
      <c r="C370" s="251">
        <f t="shared" si="27"/>
        <v>3</v>
      </c>
      <c r="D370" s="257"/>
      <c r="E370" s="253">
        <f t="shared" si="28"/>
        <v>0</v>
      </c>
      <c r="F370" s="189">
        <f t="shared" si="29"/>
        <v>13.559999999999999</v>
      </c>
      <c r="G370" s="254">
        <f t="shared" si="30"/>
        <v>29.94</v>
      </c>
      <c r="H370" s="253">
        <f t="shared" si="31"/>
        <v>0</v>
      </c>
      <c r="I370" s="255">
        <f t="shared" si="32"/>
        <v>0</v>
      </c>
      <c r="K370" s="181"/>
    </row>
    <row r="371" spans="1:25" x14ac:dyDescent="0.25">
      <c r="A371" s="245" t="s">
        <v>256</v>
      </c>
      <c r="B371" s="295" t="str">
        <f t="shared" si="26"/>
        <v>ML</v>
      </c>
      <c r="C371" s="295">
        <f t="shared" si="27"/>
        <v>0.8</v>
      </c>
      <c r="D371" s="252"/>
      <c r="E371" s="296">
        <f t="shared" si="28"/>
        <v>0</v>
      </c>
      <c r="F371" s="297">
        <f t="shared" si="29"/>
        <v>0.89600000000000013</v>
      </c>
      <c r="G371" s="298">
        <f t="shared" si="30"/>
        <v>5.7759999999999998</v>
      </c>
      <c r="H371" s="296">
        <f t="shared" si="31"/>
        <v>0</v>
      </c>
      <c r="I371" s="299">
        <f t="shared" si="32"/>
        <v>0</v>
      </c>
    </row>
    <row r="372" spans="1:25" x14ac:dyDescent="0.25">
      <c r="A372" s="256" t="s">
        <v>121</v>
      </c>
      <c r="B372" s="251" t="str">
        <f t="shared" si="26"/>
        <v>ML</v>
      </c>
      <c r="C372" s="251">
        <f t="shared" si="27"/>
        <v>1</v>
      </c>
      <c r="D372" s="257"/>
      <c r="E372" s="253">
        <f t="shared" si="28"/>
        <v>0</v>
      </c>
      <c r="F372" s="189">
        <f t="shared" si="29"/>
        <v>1.1200000000000001</v>
      </c>
      <c r="G372" s="254">
        <f t="shared" si="30"/>
        <v>7.22</v>
      </c>
      <c r="H372" s="253">
        <f t="shared" si="31"/>
        <v>0</v>
      </c>
      <c r="I372" s="255">
        <f t="shared" si="32"/>
        <v>0</v>
      </c>
    </row>
    <row r="373" spans="1:25" x14ac:dyDescent="0.25">
      <c r="A373" s="245" t="s">
        <v>257</v>
      </c>
      <c r="B373" s="295" t="str">
        <f t="shared" si="26"/>
        <v>ML</v>
      </c>
      <c r="C373" s="295">
        <f t="shared" si="27"/>
        <v>1.2</v>
      </c>
      <c r="D373" s="252"/>
      <c r="E373" s="296">
        <f t="shared" si="28"/>
        <v>0</v>
      </c>
      <c r="F373" s="297">
        <f t="shared" si="29"/>
        <v>1.3440000000000001</v>
      </c>
      <c r="G373" s="298">
        <f t="shared" si="30"/>
        <v>8.6639999999999997</v>
      </c>
      <c r="H373" s="296">
        <f t="shared" si="31"/>
        <v>0</v>
      </c>
      <c r="I373" s="299">
        <f t="shared" si="32"/>
        <v>0</v>
      </c>
      <c r="K373" s="181"/>
    </row>
    <row r="374" spans="1:25" x14ac:dyDescent="0.25">
      <c r="A374" s="256" t="s">
        <v>267</v>
      </c>
      <c r="B374" s="251" t="str">
        <f t="shared" si="26"/>
        <v>ML</v>
      </c>
      <c r="C374" s="251">
        <f t="shared" si="27"/>
        <v>1.3</v>
      </c>
      <c r="D374" s="257"/>
      <c r="E374" s="253">
        <f t="shared" si="28"/>
        <v>0</v>
      </c>
      <c r="F374" s="189">
        <f t="shared" si="29"/>
        <v>1.7472000000000001</v>
      </c>
      <c r="G374" s="254">
        <f t="shared" si="30"/>
        <v>9.3859999999999992</v>
      </c>
      <c r="H374" s="253">
        <f t="shared" si="31"/>
        <v>0</v>
      </c>
      <c r="I374" s="255">
        <f t="shared" si="32"/>
        <v>0</v>
      </c>
    </row>
    <row r="375" spans="1:25" x14ac:dyDescent="0.25">
      <c r="A375" s="245" t="s">
        <v>258</v>
      </c>
      <c r="B375" s="295" t="str">
        <f t="shared" si="26"/>
        <v>ML</v>
      </c>
      <c r="C375" s="295">
        <f t="shared" si="27"/>
        <v>1.5</v>
      </c>
      <c r="D375" s="252"/>
      <c r="E375" s="296">
        <f t="shared" si="28"/>
        <v>0</v>
      </c>
      <c r="F375" s="297">
        <f t="shared" si="29"/>
        <v>1.6800000000000002</v>
      </c>
      <c r="G375" s="298">
        <f t="shared" si="30"/>
        <v>10.83</v>
      </c>
      <c r="H375" s="296">
        <f t="shared" si="31"/>
        <v>0</v>
      </c>
      <c r="I375" s="299">
        <f t="shared" si="32"/>
        <v>0</v>
      </c>
    </row>
    <row r="376" spans="1:25" x14ac:dyDescent="0.25">
      <c r="A376" s="256" t="s">
        <v>259</v>
      </c>
      <c r="B376" s="251" t="str">
        <f t="shared" si="26"/>
        <v>ML</v>
      </c>
      <c r="C376" s="251">
        <f t="shared" si="27"/>
        <v>1.7</v>
      </c>
      <c r="D376" s="257"/>
      <c r="E376" s="253">
        <f t="shared" si="28"/>
        <v>0</v>
      </c>
      <c r="F376" s="189">
        <f t="shared" si="29"/>
        <v>1.9040000000000001</v>
      </c>
      <c r="G376" s="254">
        <f t="shared" si="30"/>
        <v>12.273999999999999</v>
      </c>
      <c r="H376" s="253">
        <f t="shared" si="31"/>
        <v>0</v>
      </c>
      <c r="I376" s="255">
        <f t="shared" si="32"/>
        <v>0</v>
      </c>
      <c r="K376" s="181"/>
    </row>
    <row r="377" spans="1:25" x14ac:dyDescent="0.25">
      <c r="A377" s="245" t="s">
        <v>260</v>
      </c>
      <c r="B377" s="295" t="str">
        <f t="shared" si="26"/>
        <v>ML</v>
      </c>
      <c r="C377" s="295">
        <f t="shared" si="27"/>
        <v>1.8</v>
      </c>
      <c r="D377" s="252"/>
      <c r="E377" s="296">
        <f t="shared" si="28"/>
        <v>0</v>
      </c>
      <c r="F377" s="297">
        <f t="shared" si="29"/>
        <v>2.0160000000000005</v>
      </c>
      <c r="G377" s="298">
        <f t="shared" si="30"/>
        <v>12.996</v>
      </c>
      <c r="H377" s="296">
        <f t="shared" si="31"/>
        <v>0</v>
      </c>
      <c r="I377" s="299">
        <f t="shared" si="32"/>
        <v>0</v>
      </c>
    </row>
    <row r="378" spans="1:25" x14ac:dyDescent="0.25">
      <c r="A378" s="256" t="s">
        <v>261</v>
      </c>
      <c r="B378" s="251" t="str">
        <f t="shared" si="26"/>
        <v>ML</v>
      </c>
      <c r="C378" s="251">
        <f t="shared" si="27"/>
        <v>2</v>
      </c>
      <c r="D378" s="257"/>
      <c r="E378" s="253">
        <f t="shared" si="28"/>
        <v>0</v>
      </c>
      <c r="F378" s="189">
        <f t="shared" si="29"/>
        <v>2.2400000000000002</v>
      </c>
      <c r="G378" s="254">
        <f t="shared" si="30"/>
        <v>14.44</v>
      </c>
      <c r="H378" s="253">
        <f t="shared" si="31"/>
        <v>0</v>
      </c>
      <c r="I378" s="255">
        <f t="shared" si="32"/>
        <v>0</v>
      </c>
      <c r="K378" s="181"/>
    </row>
    <row r="379" spans="1:25" x14ac:dyDescent="0.25">
      <c r="A379" s="245" t="s">
        <v>262</v>
      </c>
      <c r="B379" s="295" t="str">
        <f t="shared" si="26"/>
        <v>ML</v>
      </c>
      <c r="C379" s="295">
        <f t="shared" si="27"/>
        <v>2.2000000000000002</v>
      </c>
      <c r="D379" s="252"/>
      <c r="E379" s="296">
        <f t="shared" si="28"/>
        <v>0</v>
      </c>
      <c r="F379" s="297">
        <f t="shared" si="29"/>
        <v>2.4640000000000004</v>
      </c>
      <c r="G379" s="298">
        <f t="shared" si="30"/>
        <v>15.884</v>
      </c>
      <c r="H379" s="296">
        <f t="shared" si="31"/>
        <v>0</v>
      </c>
      <c r="I379" s="299">
        <f t="shared" si="32"/>
        <v>0</v>
      </c>
      <c r="M379" s="262"/>
      <c r="N379" s="30"/>
      <c r="O379" s="30"/>
      <c r="P379" s="30"/>
      <c r="Q379" s="30"/>
      <c r="R379" s="30"/>
      <c r="S379" s="30"/>
      <c r="T379" s="30"/>
      <c r="U379" s="29"/>
    </row>
    <row r="380" spans="1:25" x14ac:dyDescent="0.25">
      <c r="A380" s="256" t="s">
        <v>263</v>
      </c>
      <c r="B380" s="251" t="str">
        <f t="shared" si="26"/>
        <v>ML</v>
      </c>
      <c r="C380" s="251">
        <f t="shared" si="27"/>
        <v>2.2999999999999998</v>
      </c>
      <c r="D380" s="257"/>
      <c r="E380" s="253">
        <f t="shared" si="28"/>
        <v>0</v>
      </c>
      <c r="F380" s="189">
        <f t="shared" si="29"/>
        <v>2.5760000000000001</v>
      </c>
      <c r="G380" s="254">
        <f t="shared" si="30"/>
        <v>16.605999999999998</v>
      </c>
      <c r="H380" s="253">
        <f t="shared" si="31"/>
        <v>0</v>
      </c>
      <c r="I380" s="255">
        <f t="shared" si="32"/>
        <v>0</v>
      </c>
      <c r="M380" s="262"/>
      <c r="N380" s="30"/>
      <c r="O380" s="30"/>
      <c r="P380" s="30"/>
      <c r="Q380" s="30"/>
      <c r="R380" s="30"/>
      <c r="S380" s="30"/>
      <c r="T380" s="30"/>
      <c r="U380" s="29"/>
    </row>
    <row r="381" spans="1:25" x14ac:dyDescent="0.25">
      <c r="A381" s="245" t="s">
        <v>264</v>
      </c>
      <c r="B381" s="295" t="str">
        <f t="shared" si="26"/>
        <v>ML</v>
      </c>
      <c r="C381" s="295">
        <f t="shared" si="27"/>
        <v>2.4</v>
      </c>
      <c r="D381" s="252"/>
      <c r="E381" s="296">
        <f t="shared" si="28"/>
        <v>0</v>
      </c>
      <c r="F381" s="297">
        <f t="shared" si="29"/>
        <v>2.6880000000000002</v>
      </c>
      <c r="G381" s="298">
        <f t="shared" si="30"/>
        <v>17.327999999999999</v>
      </c>
      <c r="H381" s="296">
        <f t="shared" si="31"/>
        <v>0</v>
      </c>
      <c r="I381" s="299">
        <f t="shared" si="32"/>
        <v>0</v>
      </c>
      <c r="M381" s="262"/>
      <c r="N381" s="30"/>
      <c r="O381" s="30"/>
      <c r="P381" s="30"/>
      <c r="Q381" s="30"/>
      <c r="R381" s="30"/>
      <c r="S381" s="30"/>
      <c r="T381" s="30"/>
      <c r="U381" s="29"/>
    </row>
    <row r="382" spans="1:25" x14ac:dyDescent="0.25">
      <c r="A382" s="256" t="s">
        <v>265</v>
      </c>
      <c r="B382" s="251" t="str">
        <f t="shared" si="26"/>
        <v>ML</v>
      </c>
      <c r="C382" s="251">
        <f t="shared" si="27"/>
        <v>2.5</v>
      </c>
      <c r="D382" s="257"/>
      <c r="E382" s="253">
        <f t="shared" si="28"/>
        <v>0</v>
      </c>
      <c r="F382" s="189">
        <f t="shared" si="29"/>
        <v>2.8000000000000003</v>
      </c>
      <c r="G382" s="254">
        <f t="shared" si="30"/>
        <v>18.05</v>
      </c>
      <c r="H382" s="253">
        <f t="shared" si="31"/>
        <v>0</v>
      </c>
      <c r="I382" s="255">
        <f t="shared" si="32"/>
        <v>0</v>
      </c>
      <c r="K382" s="181"/>
      <c r="M382" s="262"/>
      <c r="N382" s="30"/>
      <c r="O382" s="30"/>
      <c r="P382" s="30"/>
      <c r="Q382" s="30"/>
      <c r="R382" s="30"/>
      <c r="S382" s="30"/>
      <c r="T382" s="30"/>
      <c r="U382" s="29"/>
      <c r="Y382" s="22"/>
    </row>
    <row r="383" spans="1:25" x14ac:dyDescent="0.25">
      <c r="A383" s="245" t="s">
        <v>266</v>
      </c>
      <c r="B383" s="295" t="str">
        <f t="shared" si="26"/>
        <v>ML</v>
      </c>
      <c r="C383" s="295">
        <f t="shared" si="27"/>
        <v>3</v>
      </c>
      <c r="D383" s="252"/>
      <c r="E383" s="296">
        <f t="shared" si="28"/>
        <v>0</v>
      </c>
      <c r="F383" s="297">
        <f t="shared" si="29"/>
        <v>3.3600000000000003</v>
      </c>
      <c r="G383" s="298">
        <f t="shared" si="30"/>
        <v>21.66</v>
      </c>
      <c r="H383" s="296">
        <f t="shared" si="31"/>
        <v>0</v>
      </c>
      <c r="I383" s="299">
        <f t="shared" si="32"/>
        <v>0</v>
      </c>
    </row>
    <row r="384" spans="1:25" x14ac:dyDescent="0.25">
      <c r="A384" s="256" t="s">
        <v>300</v>
      </c>
      <c r="B384" s="251" t="str">
        <f t="shared" si="26"/>
        <v>PÇ</v>
      </c>
      <c r="C384" s="251">
        <f t="shared" si="27"/>
        <v>1</v>
      </c>
      <c r="D384" s="257"/>
      <c r="E384" s="253">
        <f t="shared" si="28"/>
        <v>0</v>
      </c>
      <c r="F384" s="189">
        <f t="shared" si="29"/>
        <v>0.2</v>
      </c>
      <c r="G384" s="254">
        <f t="shared" si="30"/>
        <v>0.66</v>
      </c>
      <c r="H384" s="253">
        <f t="shared" si="31"/>
        <v>0</v>
      </c>
      <c r="I384" s="255">
        <f t="shared" si="32"/>
        <v>0</v>
      </c>
    </row>
    <row r="385" spans="1:16" x14ac:dyDescent="0.25">
      <c r="A385" s="256"/>
      <c r="B385" s="27" t="str">
        <f>IFERROR(VLOOKUP($A385,#REF!,10,FALSE),"")</f>
        <v/>
      </c>
      <c r="C385" s="27" t="str">
        <f>IFERROR(VLOOKUP($A385,#REF!,11,FALSE),"")</f>
        <v/>
      </c>
      <c r="D385" s="28"/>
      <c r="E385" s="23" t="str">
        <f t="shared" ref="E385" si="33">IFERROR(D385*C385,"")</f>
        <v/>
      </c>
      <c r="F385" s="24"/>
      <c r="G385" s="26" t="str">
        <f>IFERROR(IF(#REF!="padrão",VLOOKUP($A385,#REF!,13,FALSE),IF(#REF!="mínimo",VLOOKUP($A385,#REF!,12,FALSE),VLOOKUP($A385,#REF!,14,FALSE)))*C385,"")</f>
        <v/>
      </c>
      <c r="H385" s="23">
        <f t="shared" ref="H385" si="34">IFERROR(F385*D385,"")</f>
        <v>0</v>
      </c>
      <c r="I385" s="25" t="str">
        <f t="shared" ref="I385" si="35">IFERROR(ROUND(G385*D385,2),"")</f>
        <v/>
      </c>
    </row>
    <row r="386" spans="1:16" ht="15.75" thickBot="1" x14ac:dyDescent="0.3">
      <c r="A386" s="258"/>
      <c r="B386" s="27" t="str">
        <f>IFERROR(VLOOKUP($A386,#REF!,10,FALSE),"")</f>
        <v/>
      </c>
      <c r="C386" s="27" t="str">
        <f>IFERROR(VLOOKUP($A386,#REF!,11,FALSE),"")</f>
        <v/>
      </c>
      <c r="D386" s="28"/>
      <c r="E386" s="37">
        <f>SUMIFS(E296:E384,B296:B384,"ML")</f>
        <v>0</v>
      </c>
      <c r="F386" s="24"/>
      <c r="G386" s="26" t="str">
        <f>IFERROR(IF(#REF!="padrão",VLOOKUP($A386,#REF!,13,FALSE),IF(#REF!="mínimo",VLOOKUP($A386,#REF!,12,FALSE),VLOOKUP($A386,#REF!,14,FALSE)))*C386,"")</f>
        <v/>
      </c>
      <c r="H386" s="23">
        <f t="shared" ref="H386" si="36">IFERROR(F386*D386,"")</f>
        <v>0</v>
      </c>
      <c r="I386" s="25" t="str">
        <f t="shared" ref="I386" si="37">IFERROR(ROUND(G386*D386,2),"")</f>
        <v/>
      </c>
    </row>
    <row r="387" spans="1:16" x14ac:dyDescent="0.25">
      <c r="A387" s="259"/>
      <c r="B387" s="98"/>
      <c r="C387" s="98"/>
      <c r="D387" s="101">
        <v>1</v>
      </c>
      <c r="E387" s="505" t="s">
        <v>127</v>
      </c>
      <c r="F387" s="506"/>
      <c r="G387" s="507"/>
      <c r="H387" s="32">
        <f>SUM(H296:H384)</f>
        <v>0</v>
      </c>
      <c r="I387" s="31"/>
    </row>
    <row r="388" spans="1:16" x14ac:dyDescent="0.25">
      <c r="A388" s="260"/>
      <c r="B388" s="99"/>
      <c r="C388" s="99"/>
      <c r="D388" s="102">
        <v>1</v>
      </c>
      <c r="E388" s="493" t="s">
        <v>128</v>
      </c>
      <c r="F388" s="494"/>
      <c r="G388" s="495"/>
      <c r="H388" s="33">
        <f>ROUNDUP(H387/25000,0)</f>
        <v>0</v>
      </c>
      <c r="I388" s="31"/>
    </row>
    <row r="389" spans="1:16" ht="15.75" thickBot="1" x14ac:dyDescent="0.3">
      <c r="A389" s="261"/>
      <c r="B389" s="100"/>
      <c r="C389" s="100"/>
      <c r="D389" s="103">
        <v>1</v>
      </c>
      <c r="E389" s="496" t="s">
        <v>126</v>
      </c>
      <c r="F389" s="497"/>
      <c r="G389" s="498"/>
      <c r="H389" s="34"/>
      <c r="I389" s="35">
        <f>SUM(I296:I384)</f>
        <v>0</v>
      </c>
    </row>
    <row r="391" spans="1:16" x14ac:dyDescent="0.25">
      <c r="A391" s="263" t="s">
        <v>274</v>
      </c>
      <c r="B391" s="263" t="s">
        <v>273</v>
      </c>
    </row>
    <row r="392" spans="1:16" x14ac:dyDescent="0.25">
      <c r="A392" s="263" t="s">
        <v>269</v>
      </c>
      <c r="B392" s="189">
        <v>1</v>
      </c>
      <c r="D392" s="140">
        <v>13439</v>
      </c>
    </row>
    <row r="393" spans="1:16" x14ac:dyDescent="0.25">
      <c r="A393" s="263" t="s">
        <v>270</v>
      </c>
      <c r="B393" s="189">
        <v>1</v>
      </c>
      <c r="D393" s="287">
        <f>D392*2.14</f>
        <v>28759.460000000003</v>
      </c>
      <c r="E393" s="140">
        <f>90/(0.7)</f>
        <v>128.57142857142858</v>
      </c>
      <c r="F393" s="140">
        <f>E393/36</f>
        <v>3.5714285714285716</v>
      </c>
    </row>
    <row r="394" spans="1:16" x14ac:dyDescent="0.25">
      <c r="A394" s="263" t="s">
        <v>271</v>
      </c>
      <c r="B394" s="189">
        <v>1</v>
      </c>
      <c r="D394" s="287">
        <f>D392*1.5</f>
        <v>20158.5</v>
      </c>
      <c r="E394" s="140">
        <f>D394/D393</f>
        <v>0.7009345794392523</v>
      </c>
    </row>
    <row r="395" spans="1:16" ht="15.75" thickBot="1" x14ac:dyDescent="0.3">
      <c r="A395" s="263" t="s">
        <v>272</v>
      </c>
      <c r="B395" s="189">
        <v>1</v>
      </c>
    </row>
    <row r="396" spans="1:16" x14ac:dyDescent="0.25">
      <c r="B396" s="264" t="s">
        <v>27</v>
      </c>
      <c r="C396" s="265" t="s">
        <v>27</v>
      </c>
      <c r="D396" s="503" t="s">
        <v>28</v>
      </c>
      <c r="E396" s="503" t="s">
        <v>29</v>
      </c>
      <c r="F396" s="503" t="s">
        <v>30</v>
      </c>
      <c r="G396" s="500" t="s">
        <v>294</v>
      </c>
      <c r="H396" s="501"/>
      <c r="I396" s="502"/>
      <c r="J396" s="303"/>
      <c r="K396" s="500" t="s">
        <v>107</v>
      </c>
      <c r="L396" s="501"/>
      <c r="M396" s="502"/>
      <c r="N396" s="140"/>
      <c r="O396" s="499" t="s">
        <v>130</v>
      </c>
      <c r="P396" s="140"/>
    </row>
    <row r="397" spans="1:16" x14ac:dyDescent="0.25">
      <c r="B397" s="266" t="s">
        <v>31</v>
      </c>
      <c r="C397" s="267" t="s">
        <v>32</v>
      </c>
      <c r="D397" s="504"/>
      <c r="E397" s="504"/>
      <c r="F397" s="504"/>
      <c r="G397" s="234" t="s">
        <v>3</v>
      </c>
      <c r="H397" s="268" t="s">
        <v>4</v>
      </c>
      <c r="I397" s="304" t="s">
        <v>5</v>
      </c>
      <c r="J397" s="305"/>
      <c r="K397" s="234" t="s">
        <v>3</v>
      </c>
      <c r="L397" s="268" t="s">
        <v>4</v>
      </c>
      <c r="M397" s="304" t="s">
        <v>5</v>
      </c>
      <c r="N397" s="140"/>
      <c r="O397" s="499"/>
      <c r="P397" s="140"/>
    </row>
    <row r="398" spans="1:16" x14ac:dyDescent="0.25">
      <c r="A398" s="140" t="s">
        <v>200</v>
      </c>
      <c r="B398" s="269">
        <v>1.85</v>
      </c>
      <c r="C398" s="270">
        <v>0</v>
      </c>
      <c r="D398" s="271" t="s">
        <v>33</v>
      </c>
      <c r="E398" s="272" t="s">
        <v>34</v>
      </c>
      <c r="F398" s="273">
        <v>0.5</v>
      </c>
      <c r="G398" s="274">
        <f>ROUND(H398*0.95,2)</f>
        <v>2.0299999999999998</v>
      </c>
      <c r="H398" s="275">
        <f>2.14*$B$392</f>
        <v>2.14</v>
      </c>
      <c r="I398" s="274">
        <f>ROUND(H398*1.1,2)</f>
        <v>2.35</v>
      </c>
      <c r="J398" s="306"/>
      <c r="K398" s="307">
        <f t="shared" ref="K398:K430" si="38">G398*F398</f>
        <v>1.0149999999999999</v>
      </c>
      <c r="L398" s="277">
        <f t="shared" ref="L398:L430" si="39">H398*F398</f>
        <v>1.07</v>
      </c>
      <c r="M398" s="274">
        <f t="shared" ref="M398:M430" si="40">I398*F398</f>
        <v>1.175</v>
      </c>
      <c r="N398" s="140"/>
      <c r="O398" s="29">
        <f>P398*F398</f>
        <v>52.5</v>
      </c>
      <c r="P398" s="36">
        <v>105</v>
      </c>
    </row>
    <row r="399" spans="1:16" x14ac:dyDescent="0.25">
      <c r="A399" s="140" t="s">
        <v>201</v>
      </c>
      <c r="B399" s="269">
        <v>2.7750000000000004</v>
      </c>
      <c r="C399" s="270">
        <v>0</v>
      </c>
      <c r="D399" s="276" t="s">
        <v>35</v>
      </c>
      <c r="E399" s="272" t="s">
        <v>34</v>
      </c>
      <c r="F399" s="273">
        <v>0.75</v>
      </c>
      <c r="G399" s="274">
        <f t="shared" ref="G399:G466" si="41">ROUND(H399*0.95,2)</f>
        <v>2.0299999999999998</v>
      </c>
      <c r="H399" s="277">
        <f>H398</f>
        <v>2.14</v>
      </c>
      <c r="I399" s="274">
        <f t="shared" ref="I399:I466" si="42">ROUND(H399*1.1,2)</f>
        <v>2.35</v>
      </c>
      <c r="J399" s="306"/>
      <c r="K399" s="307">
        <f t="shared" si="38"/>
        <v>1.5225</v>
      </c>
      <c r="L399" s="277">
        <f t="shared" si="39"/>
        <v>1.605</v>
      </c>
      <c r="M399" s="274">
        <f t="shared" si="40"/>
        <v>1.7625000000000002</v>
      </c>
      <c r="N399" s="140"/>
      <c r="O399" s="29">
        <f t="shared" ref="O399:O457" si="43">P399*F399</f>
        <v>78.75</v>
      </c>
      <c r="P399" s="36">
        <v>105</v>
      </c>
    </row>
    <row r="400" spans="1:16" x14ac:dyDescent="0.25">
      <c r="A400" s="140" t="s">
        <v>129</v>
      </c>
      <c r="B400" s="269">
        <v>3.7</v>
      </c>
      <c r="C400" s="270">
        <v>330.91874999999999</v>
      </c>
      <c r="D400" s="276" t="s">
        <v>36</v>
      </c>
      <c r="E400" s="272" t="s">
        <v>34</v>
      </c>
      <c r="F400" s="273">
        <v>1</v>
      </c>
      <c r="G400" s="274">
        <f t="shared" si="41"/>
        <v>2.0299999999999998</v>
      </c>
      <c r="H400" s="277">
        <f t="shared" ref="H400:H420" si="44">H399</f>
        <v>2.14</v>
      </c>
      <c r="I400" s="274">
        <f t="shared" si="42"/>
        <v>2.35</v>
      </c>
      <c r="J400" s="306"/>
      <c r="K400" s="307">
        <f t="shared" si="38"/>
        <v>2.0299999999999998</v>
      </c>
      <c r="L400" s="277">
        <f t="shared" si="39"/>
        <v>2.14</v>
      </c>
      <c r="M400" s="274">
        <f t="shared" si="40"/>
        <v>2.35</v>
      </c>
      <c r="N400" s="140"/>
      <c r="O400" s="29">
        <f t="shared" si="43"/>
        <v>105</v>
      </c>
      <c r="P400" s="36">
        <v>105</v>
      </c>
    </row>
    <row r="401" spans="1:16" x14ac:dyDescent="0.25">
      <c r="A401" s="140" t="s">
        <v>202</v>
      </c>
      <c r="B401" s="269">
        <v>4.625</v>
      </c>
      <c r="C401" s="270">
        <v>0</v>
      </c>
      <c r="D401" s="276" t="s">
        <v>37</v>
      </c>
      <c r="E401" s="272" t="s">
        <v>34</v>
      </c>
      <c r="F401" s="273">
        <v>1.25</v>
      </c>
      <c r="G401" s="274">
        <f t="shared" si="41"/>
        <v>2.0299999999999998</v>
      </c>
      <c r="H401" s="277">
        <f t="shared" si="44"/>
        <v>2.14</v>
      </c>
      <c r="I401" s="274">
        <f t="shared" si="42"/>
        <v>2.35</v>
      </c>
      <c r="J401" s="306"/>
      <c r="K401" s="307">
        <f t="shared" si="38"/>
        <v>2.5374999999999996</v>
      </c>
      <c r="L401" s="277">
        <f t="shared" si="39"/>
        <v>2.6750000000000003</v>
      </c>
      <c r="M401" s="274">
        <f t="shared" si="40"/>
        <v>2.9375</v>
      </c>
      <c r="N401" s="140"/>
      <c r="O401" s="29">
        <f t="shared" si="43"/>
        <v>131.25</v>
      </c>
      <c r="P401" s="36">
        <v>105</v>
      </c>
    </row>
    <row r="402" spans="1:16" x14ac:dyDescent="0.25">
      <c r="A402" s="140" t="s">
        <v>203</v>
      </c>
      <c r="B402" s="269">
        <v>5.5500000000000007</v>
      </c>
      <c r="C402" s="270">
        <v>0</v>
      </c>
      <c r="D402" s="276" t="s">
        <v>38</v>
      </c>
      <c r="E402" s="272" t="s">
        <v>34</v>
      </c>
      <c r="F402" s="273">
        <v>1.5</v>
      </c>
      <c r="G402" s="274">
        <f t="shared" si="41"/>
        <v>2.0299999999999998</v>
      </c>
      <c r="H402" s="277">
        <f t="shared" si="44"/>
        <v>2.14</v>
      </c>
      <c r="I402" s="274">
        <f t="shared" si="42"/>
        <v>2.35</v>
      </c>
      <c r="J402" s="306"/>
      <c r="K402" s="307">
        <f t="shared" si="38"/>
        <v>3.0449999999999999</v>
      </c>
      <c r="L402" s="277">
        <f t="shared" si="39"/>
        <v>3.21</v>
      </c>
      <c r="M402" s="274">
        <f t="shared" si="40"/>
        <v>3.5250000000000004</v>
      </c>
      <c r="N402" s="140"/>
      <c r="O402" s="29">
        <f t="shared" si="43"/>
        <v>157.5</v>
      </c>
      <c r="P402" s="36">
        <v>105</v>
      </c>
    </row>
    <row r="403" spans="1:16" x14ac:dyDescent="0.25">
      <c r="A403" s="140" t="s">
        <v>204</v>
      </c>
      <c r="B403" s="269">
        <v>6.4750000000000005</v>
      </c>
      <c r="C403" s="270">
        <v>0</v>
      </c>
      <c r="D403" s="276" t="s">
        <v>39</v>
      </c>
      <c r="E403" s="272" t="s">
        <v>34</v>
      </c>
      <c r="F403" s="273">
        <v>1.75</v>
      </c>
      <c r="G403" s="274">
        <f t="shared" si="41"/>
        <v>2.0299999999999998</v>
      </c>
      <c r="H403" s="277">
        <f t="shared" si="44"/>
        <v>2.14</v>
      </c>
      <c r="I403" s="274">
        <f t="shared" si="42"/>
        <v>2.35</v>
      </c>
      <c r="J403" s="306"/>
      <c r="K403" s="307">
        <f t="shared" si="38"/>
        <v>3.5524999999999998</v>
      </c>
      <c r="L403" s="277">
        <f t="shared" si="39"/>
        <v>3.7450000000000001</v>
      </c>
      <c r="M403" s="274">
        <f t="shared" si="40"/>
        <v>4.1124999999999998</v>
      </c>
      <c r="N403" s="140"/>
      <c r="O403" s="29">
        <f t="shared" si="43"/>
        <v>183.75</v>
      </c>
      <c r="P403" s="36">
        <v>105</v>
      </c>
    </row>
    <row r="404" spans="1:16" x14ac:dyDescent="0.25">
      <c r="A404" s="140" t="s">
        <v>205</v>
      </c>
      <c r="B404" s="269">
        <v>7.4</v>
      </c>
      <c r="C404" s="270">
        <v>0</v>
      </c>
      <c r="D404" s="276" t="s">
        <v>40</v>
      </c>
      <c r="E404" s="272" t="s">
        <v>34</v>
      </c>
      <c r="F404" s="273">
        <v>2</v>
      </c>
      <c r="G404" s="274">
        <f t="shared" si="41"/>
        <v>2.0299999999999998</v>
      </c>
      <c r="H404" s="277">
        <f t="shared" si="44"/>
        <v>2.14</v>
      </c>
      <c r="I404" s="274">
        <f t="shared" si="42"/>
        <v>2.35</v>
      </c>
      <c r="J404" s="306"/>
      <c r="K404" s="307">
        <f t="shared" si="38"/>
        <v>4.0599999999999996</v>
      </c>
      <c r="L404" s="277">
        <f t="shared" si="39"/>
        <v>4.28</v>
      </c>
      <c r="M404" s="274">
        <f t="shared" si="40"/>
        <v>4.7</v>
      </c>
      <c r="N404" s="140"/>
      <c r="O404" s="29">
        <f t="shared" si="43"/>
        <v>210</v>
      </c>
      <c r="P404" s="36">
        <v>105</v>
      </c>
    </row>
    <row r="405" spans="1:16" x14ac:dyDescent="0.25">
      <c r="A405" s="140" t="s">
        <v>206</v>
      </c>
      <c r="B405" s="269">
        <v>8.3250000000000011</v>
      </c>
      <c r="C405" s="270">
        <v>0</v>
      </c>
      <c r="D405" s="276" t="s">
        <v>41</v>
      </c>
      <c r="E405" s="272" t="s">
        <v>34</v>
      </c>
      <c r="F405" s="273">
        <v>2.25</v>
      </c>
      <c r="G405" s="274">
        <f t="shared" si="41"/>
        <v>2.0299999999999998</v>
      </c>
      <c r="H405" s="277">
        <f t="shared" si="44"/>
        <v>2.14</v>
      </c>
      <c r="I405" s="274">
        <f t="shared" si="42"/>
        <v>2.35</v>
      </c>
      <c r="J405" s="306"/>
      <c r="K405" s="307">
        <f t="shared" si="38"/>
        <v>4.5674999999999999</v>
      </c>
      <c r="L405" s="277">
        <f t="shared" si="39"/>
        <v>4.8150000000000004</v>
      </c>
      <c r="M405" s="274">
        <f t="shared" si="40"/>
        <v>5.2875000000000005</v>
      </c>
      <c r="N405" s="140"/>
      <c r="O405" s="29">
        <f t="shared" si="43"/>
        <v>236.25</v>
      </c>
      <c r="P405" s="36">
        <v>105</v>
      </c>
    </row>
    <row r="406" spans="1:16" x14ac:dyDescent="0.25">
      <c r="A406" s="140" t="s">
        <v>207</v>
      </c>
      <c r="B406" s="269">
        <v>9.25</v>
      </c>
      <c r="C406" s="270">
        <v>0</v>
      </c>
      <c r="D406" s="276" t="s">
        <v>42</v>
      </c>
      <c r="E406" s="272" t="s">
        <v>34</v>
      </c>
      <c r="F406" s="273">
        <v>2.5</v>
      </c>
      <c r="G406" s="274">
        <f t="shared" si="41"/>
        <v>2.0299999999999998</v>
      </c>
      <c r="H406" s="277">
        <f t="shared" si="44"/>
        <v>2.14</v>
      </c>
      <c r="I406" s="274">
        <f t="shared" si="42"/>
        <v>2.35</v>
      </c>
      <c r="J406" s="306"/>
      <c r="K406" s="307">
        <f t="shared" si="38"/>
        <v>5.0749999999999993</v>
      </c>
      <c r="L406" s="277">
        <f t="shared" si="39"/>
        <v>5.3500000000000005</v>
      </c>
      <c r="M406" s="274">
        <f t="shared" si="40"/>
        <v>5.875</v>
      </c>
      <c r="N406" s="140"/>
      <c r="O406" s="29">
        <f t="shared" si="43"/>
        <v>262.5</v>
      </c>
      <c r="P406" s="36">
        <v>105</v>
      </c>
    </row>
    <row r="407" spans="1:16" x14ac:dyDescent="0.25">
      <c r="A407" s="140" t="s">
        <v>208</v>
      </c>
      <c r="B407" s="269">
        <v>10.175000000000001</v>
      </c>
      <c r="C407" s="270">
        <v>0</v>
      </c>
      <c r="D407" s="276" t="s">
        <v>43</v>
      </c>
      <c r="E407" s="272" t="s">
        <v>34</v>
      </c>
      <c r="F407" s="273">
        <v>2.75</v>
      </c>
      <c r="G407" s="274">
        <f t="shared" si="41"/>
        <v>2.0299999999999998</v>
      </c>
      <c r="H407" s="277">
        <f t="shared" si="44"/>
        <v>2.14</v>
      </c>
      <c r="I407" s="274">
        <f t="shared" si="42"/>
        <v>2.35</v>
      </c>
      <c r="J407" s="306"/>
      <c r="K407" s="307">
        <f t="shared" si="38"/>
        <v>5.5824999999999996</v>
      </c>
      <c r="L407" s="277">
        <f t="shared" si="39"/>
        <v>5.8850000000000007</v>
      </c>
      <c r="M407" s="274">
        <f t="shared" si="40"/>
        <v>6.4625000000000004</v>
      </c>
      <c r="N407" s="140"/>
      <c r="O407" s="29">
        <f t="shared" si="43"/>
        <v>288.75</v>
      </c>
      <c r="P407" s="36">
        <v>105</v>
      </c>
    </row>
    <row r="408" spans="1:16" x14ac:dyDescent="0.25">
      <c r="A408" s="140" t="s">
        <v>209</v>
      </c>
      <c r="B408" s="269">
        <v>11.100000000000001</v>
      </c>
      <c r="C408" s="270">
        <v>0</v>
      </c>
      <c r="D408" s="276" t="s">
        <v>44</v>
      </c>
      <c r="E408" s="272" t="s">
        <v>34</v>
      </c>
      <c r="F408" s="273">
        <v>3</v>
      </c>
      <c r="G408" s="274">
        <f t="shared" si="41"/>
        <v>2.0299999999999998</v>
      </c>
      <c r="H408" s="277">
        <f t="shared" si="44"/>
        <v>2.14</v>
      </c>
      <c r="I408" s="274">
        <f t="shared" si="42"/>
        <v>2.35</v>
      </c>
      <c r="J408" s="306"/>
      <c r="K408" s="307">
        <f t="shared" si="38"/>
        <v>6.09</v>
      </c>
      <c r="L408" s="277">
        <f t="shared" si="39"/>
        <v>6.42</v>
      </c>
      <c r="M408" s="274">
        <f t="shared" si="40"/>
        <v>7.0500000000000007</v>
      </c>
      <c r="N408" s="140"/>
      <c r="O408" s="29">
        <f t="shared" si="43"/>
        <v>315</v>
      </c>
      <c r="P408" s="36">
        <v>105</v>
      </c>
    </row>
    <row r="409" spans="1:16" x14ac:dyDescent="0.25">
      <c r="A409" s="140" t="s">
        <v>210</v>
      </c>
      <c r="B409" s="269">
        <v>12.025</v>
      </c>
      <c r="C409" s="270">
        <v>0</v>
      </c>
      <c r="D409" s="276" t="s">
        <v>45</v>
      </c>
      <c r="E409" s="272" t="s">
        <v>34</v>
      </c>
      <c r="F409" s="273">
        <v>3.25</v>
      </c>
      <c r="G409" s="274">
        <f t="shared" si="41"/>
        <v>2.0299999999999998</v>
      </c>
      <c r="H409" s="277">
        <f t="shared" si="44"/>
        <v>2.14</v>
      </c>
      <c r="I409" s="274">
        <f t="shared" si="42"/>
        <v>2.35</v>
      </c>
      <c r="J409" s="306"/>
      <c r="K409" s="307">
        <f t="shared" si="38"/>
        <v>6.5974999999999993</v>
      </c>
      <c r="L409" s="277">
        <f t="shared" si="39"/>
        <v>6.9550000000000001</v>
      </c>
      <c r="M409" s="274">
        <f t="shared" si="40"/>
        <v>7.6375000000000002</v>
      </c>
      <c r="N409" s="140"/>
      <c r="O409" s="29">
        <f t="shared" si="43"/>
        <v>341.25</v>
      </c>
      <c r="P409" s="36">
        <v>105</v>
      </c>
    </row>
    <row r="410" spans="1:16" x14ac:dyDescent="0.25">
      <c r="A410" s="140" t="s">
        <v>211</v>
      </c>
      <c r="B410" s="269">
        <v>12.950000000000001</v>
      </c>
      <c r="C410" s="270">
        <v>0</v>
      </c>
      <c r="D410" s="276" t="s">
        <v>46</v>
      </c>
      <c r="E410" s="272" t="s">
        <v>34</v>
      </c>
      <c r="F410" s="273">
        <v>3.5</v>
      </c>
      <c r="G410" s="274">
        <f t="shared" si="41"/>
        <v>2.0299999999999998</v>
      </c>
      <c r="H410" s="277">
        <f t="shared" si="44"/>
        <v>2.14</v>
      </c>
      <c r="I410" s="274">
        <f t="shared" si="42"/>
        <v>2.35</v>
      </c>
      <c r="J410" s="306"/>
      <c r="K410" s="307">
        <f t="shared" si="38"/>
        <v>7.1049999999999995</v>
      </c>
      <c r="L410" s="277">
        <f t="shared" si="39"/>
        <v>7.49</v>
      </c>
      <c r="M410" s="274">
        <f t="shared" si="40"/>
        <v>8.2249999999999996</v>
      </c>
      <c r="N410" s="140"/>
      <c r="O410" s="29">
        <f t="shared" si="43"/>
        <v>367.5</v>
      </c>
      <c r="P410" s="36">
        <v>105</v>
      </c>
    </row>
    <row r="411" spans="1:16" x14ac:dyDescent="0.25">
      <c r="A411" s="140" t="s">
        <v>212</v>
      </c>
      <c r="B411" s="269">
        <v>13.875</v>
      </c>
      <c r="C411" s="270">
        <v>0</v>
      </c>
      <c r="D411" s="276" t="s">
        <v>47</v>
      </c>
      <c r="E411" s="272" t="s">
        <v>34</v>
      </c>
      <c r="F411" s="273">
        <v>3.75</v>
      </c>
      <c r="G411" s="274">
        <f t="shared" si="41"/>
        <v>2.0299999999999998</v>
      </c>
      <c r="H411" s="277">
        <f t="shared" si="44"/>
        <v>2.14</v>
      </c>
      <c r="I411" s="274">
        <f t="shared" si="42"/>
        <v>2.35</v>
      </c>
      <c r="J411" s="306"/>
      <c r="K411" s="307">
        <f t="shared" si="38"/>
        <v>7.6124999999999989</v>
      </c>
      <c r="L411" s="277">
        <f t="shared" si="39"/>
        <v>8.0250000000000004</v>
      </c>
      <c r="M411" s="274">
        <f t="shared" si="40"/>
        <v>8.8125</v>
      </c>
      <c r="N411" s="140"/>
      <c r="O411" s="29">
        <f t="shared" si="43"/>
        <v>393.75</v>
      </c>
      <c r="P411" s="36">
        <v>105</v>
      </c>
    </row>
    <row r="412" spans="1:16" x14ac:dyDescent="0.25">
      <c r="A412" s="140" t="s">
        <v>146</v>
      </c>
      <c r="B412" s="269">
        <v>14.8</v>
      </c>
      <c r="C412" s="270">
        <v>0</v>
      </c>
      <c r="D412" s="276" t="s">
        <v>48</v>
      </c>
      <c r="E412" s="272" t="s">
        <v>34</v>
      </c>
      <c r="F412" s="273">
        <v>4</v>
      </c>
      <c r="G412" s="274">
        <f t="shared" si="41"/>
        <v>2.0299999999999998</v>
      </c>
      <c r="H412" s="277">
        <f t="shared" si="44"/>
        <v>2.14</v>
      </c>
      <c r="I412" s="274">
        <f t="shared" si="42"/>
        <v>2.35</v>
      </c>
      <c r="J412" s="306"/>
      <c r="K412" s="307">
        <f t="shared" si="38"/>
        <v>8.1199999999999992</v>
      </c>
      <c r="L412" s="277">
        <f t="shared" si="39"/>
        <v>8.56</v>
      </c>
      <c r="M412" s="274">
        <f t="shared" si="40"/>
        <v>9.4</v>
      </c>
      <c r="N412" s="140"/>
      <c r="O412" s="29">
        <f t="shared" si="43"/>
        <v>420</v>
      </c>
      <c r="P412" s="36">
        <v>105</v>
      </c>
    </row>
    <row r="413" spans="1:16" x14ac:dyDescent="0.25">
      <c r="A413" s="140" t="s">
        <v>213</v>
      </c>
      <c r="B413" s="269">
        <v>15.725000000000001</v>
      </c>
      <c r="C413" s="270">
        <v>0</v>
      </c>
      <c r="D413" s="276" t="s">
        <v>49</v>
      </c>
      <c r="E413" s="272" t="s">
        <v>34</v>
      </c>
      <c r="F413" s="273">
        <v>4.25</v>
      </c>
      <c r="G413" s="274">
        <f t="shared" si="41"/>
        <v>2.0299999999999998</v>
      </c>
      <c r="H413" s="277">
        <f t="shared" si="44"/>
        <v>2.14</v>
      </c>
      <c r="I413" s="274">
        <f t="shared" si="42"/>
        <v>2.35</v>
      </c>
      <c r="J413" s="306"/>
      <c r="K413" s="307">
        <f t="shared" si="38"/>
        <v>8.6274999999999995</v>
      </c>
      <c r="L413" s="277">
        <f t="shared" si="39"/>
        <v>9.0950000000000006</v>
      </c>
      <c r="M413" s="274">
        <f t="shared" si="40"/>
        <v>9.9875000000000007</v>
      </c>
      <c r="N413" s="140"/>
      <c r="O413" s="29">
        <f t="shared" si="43"/>
        <v>446.25</v>
      </c>
      <c r="P413" s="36">
        <v>105</v>
      </c>
    </row>
    <row r="414" spans="1:16" x14ac:dyDescent="0.25">
      <c r="A414" s="140" t="s">
        <v>214</v>
      </c>
      <c r="B414" s="269">
        <v>16.650000000000002</v>
      </c>
      <c r="C414" s="270">
        <v>0</v>
      </c>
      <c r="D414" s="276" t="s">
        <v>50</v>
      </c>
      <c r="E414" s="272" t="s">
        <v>34</v>
      </c>
      <c r="F414" s="273">
        <v>4.5</v>
      </c>
      <c r="G414" s="274">
        <f t="shared" si="41"/>
        <v>2.0299999999999998</v>
      </c>
      <c r="H414" s="277">
        <f t="shared" si="44"/>
        <v>2.14</v>
      </c>
      <c r="I414" s="274">
        <f t="shared" si="42"/>
        <v>2.35</v>
      </c>
      <c r="J414" s="306"/>
      <c r="K414" s="307">
        <f t="shared" si="38"/>
        <v>9.1349999999999998</v>
      </c>
      <c r="L414" s="277">
        <f t="shared" si="39"/>
        <v>9.6300000000000008</v>
      </c>
      <c r="M414" s="274">
        <f t="shared" si="40"/>
        <v>10.575000000000001</v>
      </c>
      <c r="N414" s="140"/>
      <c r="O414" s="29">
        <f t="shared" si="43"/>
        <v>472.5</v>
      </c>
      <c r="P414" s="36">
        <v>105</v>
      </c>
    </row>
    <row r="415" spans="1:16" x14ac:dyDescent="0.25">
      <c r="A415" s="140" t="s">
        <v>215</v>
      </c>
      <c r="B415" s="269">
        <v>17.574999999999999</v>
      </c>
      <c r="C415" s="270">
        <v>0</v>
      </c>
      <c r="D415" s="276" t="s">
        <v>51</v>
      </c>
      <c r="E415" s="272" t="s">
        <v>34</v>
      </c>
      <c r="F415" s="273">
        <v>4.75</v>
      </c>
      <c r="G415" s="274">
        <f t="shared" si="41"/>
        <v>2.0299999999999998</v>
      </c>
      <c r="H415" s="277">
        <f t="shared" si="44"/>
        <v>2.14</v>
      </c>
      <c r="I415" s="274">
        <f t="shared" si="42"/>
        <v>2.35</v>
      </c>
      <c r="J415" s="306"/>
      <c r="K415" s="307">
        <f t="shared" si="38"/>
        <v>9.6424999999999983</v>
      </c>
      <c r="L415" s="277">
        <f t="shared" si="39"/>
        <v>10.165000000000001</v>
      </c>
      <c r="M415" s="274">
        <f t="shared" si="40"/>
        <v>11.1625</v>
      </c>
      <c r="N415" s="140"/>
      <c r="O415" s="29">
        <f t="shared" si="43"/>
        <v>498.75</v>
      </c>
      <c r="P415" s="36">
        <v>105</v>
      </c>
    </row>
    <row r="416" spans="1:16" x14ac:dyDescent="0.25">
      <c r="A416" s="140" t="s">
        <v>216</v>
      </c>
      <c r="B416" s="269">
        <v>18.5</v>
      </c>
      <c r="C416" s="270">
        <v>0</v>
      </c>
      <c r="D416" s="278" t="s">
        <v>52</v>
      </c>
      <c r="E416" s="272" t="s">
        <v>34</v>
      </c>
      <c r="F416" s="273">
        <v>5</v>
      </c>
      <c r="G416" s="274">
        <f t="shared" si="41"/>
        <v>2.0299999999999998</v>
      </c>
      <c r="H416" s="277">
        <f t="shared" si="44"/>
        <v>2.14</v>
      </c>
      <c r="I416" s="274">
        <f t="shared" si="42"/>
        <v>2.35</v>
      </c>
      <c r="J416" s="306"/>
      <c r="K416" s="307">
        <f t="shared" si="38"/>
        <v>10.149999999999999</v>
      </c>
      <c r="L416" s="277">
        <f t="shared" si="39"/>
        <v>10.700000000000001</v>
      </c>
      <c r="M416" s="274">
        <f t="shared" si="40"/>
        <v>11.75</v>
      </c>
      <c r="N416" s="140"/>
      <c r="O416" s="29">
        <f t="shared" si="43"/>
        <v>525</v>
      </c>
      <c r="P416" s="36">
        <v>105</v>
      </c>
    </row>
    <row r="417" spans="1:16" x14ac:dyDescent="0.25">
      <c r="A417" s="140" t="s">
        <v>217</v>
      </c>
      <c r="B417" s="269">
        <v>19.425000000000001</v>
      </c>
      <c r="C417" s="270">
        <v>0</v>
      </c>
      <c r="D417" s="276" t="s">
        <v>53</v>
      </c>
      <c r="E417" s="272" t="s">
        <v>34</v>
      </c>
      <c r="F417" s="273">
        <v>5.25</v>
      </c>
      <c r="G417" s="274">
        <f t="shared" si="41"/>
        <v>2.0299999999999998</v>
      </c>
      <c r="H417" s="277">
        <f t="shared" si="44"/>
        <v>2.14</v>
      </c>
      <c r="I417" s="274">
        <f t="shared" si="42"/>
        <v>2.35</v>
      </c>
      <c r="J417" s="306"/>
      <c r="K417" s="307">
        <f t="shared" si="38"/>
        <v>10.657499999999999</v>
      </c>
      <c r="L417" s="277">
        <f t="shared" si="39"/>
        <v>11.235000000000001</v>
      </c>
      <c r="M417" s="274">
        <f t="shared" si="40"/>
        <v>12.3375</v>
      </c>
      <c r="N417" s="140"/>
      <c r="O417" s="29">
        <f t="shared" si="43"/>
        <v>551.25</v>
      </c>
      <c r="P417" s="36">
        <v>105</v>
      </c>
    </row>
    <row r="418" spans="1:16" x14ac:dyDescent="0.25">
      <c r="A418" s="140" t="s">
        <v>218</v>
      </c>
      <c r="B418" s="269">
        <v>20.350000000000001</v>
      </c>
      <c r="C418" s="270">
        <v>0</v>
      </c>
      <c r="D418" s="276" t="s">
        <v>54</v>
      </c>
      <c r="E418" s="272" t="s">
        <v>34</v>
      </c>
      <c r="F418" s="273">
        <v>5.5</v>
      </c>
      <c r="G418" s="274">
        <f t="shared" si="41"/>
        <v>2.0299999999999998</v>
      </c>
      <c r="H418" s="277">
        <f t="shared" si="44"/>
        <v>2.14</v>
      </c>
      <c r="I418" s="274">
        <f t="shared" si="42"/>
        <v>2.35</v>
      </c>
      <c r="J418" s="306"/>
      <c r="K418" s="307">
        <f t="shared" si="38"/>
        <v>11.164999999999999</v>
      </c>
      <c r="L418" s="277">
        <f t="shared" si="39"/>
        <v>11.770000000000001</v>
      </c>
      <c r="M418" s="274">
        <f t="shared" si="40"/>
        <v>12.925000000000001</v>
      </c>
      <c r="N418" s="140"/>
      <c r="O418" s="29">
        <f t="shared" si="43"/>
        <v>577.5</v>
      </c>
      <c r="P418" s="36">
        <v>105</v>
      </c>
    </row>
    <row r="419" spans="1:16" x14ac:dyDescent="0.25">
      <c r="A419" s="140" t="s">
        <v>219</v>
      </c>
      <c r="B419" s="269">
        <v>21.275000000000002</v>
      </c>
      <c r="C419" s="270">
        <v>0</v>
      </c>
      <c r="D419" s="276" t="s">
        <v>55</v>
      </c>
      <c r="E419" s="272" t="s">
        <v>34</v>
      </c>
      <c r="F419" s="273">
        <v>5.75</v>
      </c>
      <c r="G419" s="274">
        <f t="shared" si="41"/>
        <v>2.0299999999999998</v>
      </c>
      <c r="H419" s="277">
        <f t="shared" si="44"/>
        <v>2.14</v>
      </c>
      <c r="I419" s="274">
        <f t="shared" si="42"/>
        <v>2.35</v>
      </c>
      <c r="J419" s="306"/>
      <c r="K419" s="307">
        <f t="shared" si="38"/>
        <v>11.672499999999999</v>
      </c>
      <c r="L419" s="277">
        <f t="shared" si="39"/>
        <v>12.305000000000001</v>
      </c>
      <c r="M419" s="274">
        <f t="shared" si="40"/>
        <v>13.512500000000001</v>
      </c>
      <c r="N419" s="140"/>
      <c r="O419" s="29">
        <f t="shared" si="43"/>
        <v>603.75</v>
      </c>
      <c r="P419" s="36">
        <v>105</v>
      </c>
    </row>
    <row r="420" spans="1:16" x14ac:dyDescent="0.25">
      <c r="A420" s="140" t="s">
        <v>147</v>
      </c>
      <c r="B420" s="269">
        <v>22.200000000000003</v>
      </c>
      <c r="C420" s="270">
        <v>0</v>
      </c>
      <c r="D420" s="276" t="s">
        <v>56</v>
      </c>
      <c r="E420" s="272" t="s">
        <v>34</v>
      </c>
      <c r="F420" s="273">
        <v>6</v>
      </c>
      <c r="G420" s="274">
        <f t="shared" si="41"/>
        <v>2.0299999999999998</v>
      </c>
      <c r="H420" s="277">
        <f t="shared" si="44"/>
        <v>2.14</v>
      </c>
      <c r="I420" s="274">
        <f t="shared" si="42"/>
        <v>2.35</v>
      </c>
      <c r="J420" s="306"/>
      <c r="K420" s="307">
        <f t="shared" si="38"/>
        <v>12.18</v>
      </c>
      <c r="L420" s="277">
        <f t="shared" si="39"/>
        <v>12.84</v>
      </c>
      <c r="M420" s="274">
        <f t="shared" si="40"/>
        <v>14.100000000000001</v>
      </c>
      <c r="N420" s="140"/>
      <c r="O420" s="29">
        <f t="shared" si="43"/>
        <v>630</v>
      </c>
      <c r="P420" s="36">
        <v>105</v>
      </c>
    </row>
    <row r="421" spans="1:16" x14ac:dyDescent="0.25">
      <c r="A421" s="140" t="s">
        <v>220</v>
      </c>
      <c r="B421" s="269">
        <v>1.4325000000000001</v>
      </c>
      <c r="C421" s="270">
        <v>0</v>
      </c>
      <c r="D421" s="276" t="s">
        <v>57</v>
      </c>
      <c r="E421" s="272" t="s">
        <v>34</v>
      </c>
      <c r="F421" s="273">
        <v>0.25</v>
      </c>
      <c r="G421" s="274">
        <f t="shared" si="41"/>
        <v>3.56</v>
      </c>
      <c r="H421" s="275">
        <f>$B$393*3.75</f>
        <v>3.75</v>
      </c>
      <c r="I421" s="274">
        <f t="shared" si="42"/>
        <v>4.13</v>
      </c>
      <c r="J421" s="306"/>
      <c r="K421" s="307">
        <f t="shared" si="38"/>
        <v>0.89</v>
      </c>
      <c r="L421" s="277">
        <f t="shared" si="39"/>
        <v>0.9375</v>
      </c>
      <c r="M421" s="274">
        <f t="shared" si="40"/>
        <v>1.0325</v>
      </c>
      <c r="N421" s="140"/>
      <c r="O421" s="29">
        <f t="shared" si="43"/>
        <v>85</v>
      </c>
      <c r="P421" s="36">
        <v>340</v>
      </c>
    </row>
    <row r="422" spans="1:16" x14ac:dyDescent="0.25">
      <c r="A422" s="140" t="s">
        <v>221</v>
      </c>
      <c r="B422" s="269">
        <v>2.8650000000000002</v>
      </c>
      <c r="C422" s="270">
        <v>0</v>
      </c>
      <c r="D422" s="276" t="s">
        <v>58</v>
      </c>
      <c r="E422" s="272" t="s">
        <v>34</v>
      </c>
      <c r="F422" s="273">
        <v>0.5</v>
      </c>
      <c r="G422" s="274">
        <f t="shared" si="41"/>
        <v>3.56</v>
      </c>
      <c r="H422" s="277">
        <f>H421</f>
        <v>3.75</v>
      </c>
      <c r="I422" s="274">
        <f t="shared" si="42"/>
        <v>4.13</v>
      </c>
      <c r="J422" s="306"/>
      <c r="K422" s="307">
        <f t="shared" si="38"/>
        <v>1.78</v>
      </c>
      <c r="L422" s="277">
        <f t="shared" si="39"/>
        <v>1.875</v>
      </c>
      <c r="M422" s="274">
        <f t="shared" si="40"/>
        <v>2.0649999999999999</v>
      </c>
      <c r="N422" s="140"/>
      <c r="O422" s="29">
        <f t="shared" si="43"/>
        <v>170</v>
      </c>
      <c r="P422" s="36">
        <v>340</v>
      </c>
    </row>
    <row r="423" spans="1:16" x14ac:dyDescent="0.25">
      <c r="A423" s="140" t="s">
        <v>222</v>
      </c>
      <c r="B423" s="269">
        <v>2.8650000000000002</v>
      </c>
      <c r="C423" s="270">
        <v>0</v>
      </c>
      <c r="D423" s="276" t="s">
        <v>59</v>
      </c>
      <c r="E423" s="272" t="s">
        <v>34</v>
      </c>
      <c r="F423" s="273">
        <v>0.5</v>
      </c>
      <c r="G423" s="274">
        <f t="shared" si="41"/>
        <v>3.56</v>
      </c>
      <c r="H423" s="277">
        <f t="shared" ref="H423:H428" si="45">H422</f>
        <v>3.75</v>
      </c>
      <c r="I423" s="274">
        <f t="shared" si="42"/>
        <v>4.13</v>
      </c>
      <c r="J423" s="306"/>
      <c r="K423" s="307">
        <f t="shared" si="38"/>
        <v>1.78</v>
      </c>
      <c r="L423" s="277">
        <f t="shared" si="39"/>
        <v>1.875</v>
      </c>
      <c r="M423" s="274">
        <f t="shared" si="40"/>
        <v>2.0649999999999999</v>
      </c>
      <c r="N423" s="140"/>
      <c r="O423" s="29">
        <f t="shared" si="43"/>
        <v>170</v>
      </c>
      <c r="P423" s="36">
        <v>340</v>
      </c>
    </row>
    <row r="424" spans="1:16" x14ac:dyDescent="0.25">
      <c r="A424" s="140" t="s">
        <v>114</v>
      </c>
      <c r="B424" s="269">
        <v>5.73</v>
      </c>
      <c r="C424" s="270">
        <v>1537.4306250000002</v>
      </c>
      <c r="D424" s="276" t="s">
        <v>60</v>
      </c>
      <c r="E424" s="272" t="s">
        <v>34</v>
      </c>
      <c r="F424" s="273">
        <v>1</v>
      </c>
      <c r="G424" s="274">
        <f t="shared" si="41"/>
        <v>3.56</v>
      </c>
      <c r="H424" s="277">
        <f t="shared" si="45"/>
        <v>3.75</v>
      </c>
      <c r="I424" s="274">
        <f t="shared" si="42"/>
        <v>4.13</v>
      </c>
      <c r="J424" s="306"/>
      <c r="K424" s="307">
        <f t="shared" si="38"/>
        <v>3.56</v>
      </c>
      <c r="L424" s="277">
        <f t="shared" si="39"/>
        <v>3.75</v>
      </c>
      <c r="M424" s="274">
        <f t="shared" si="40"/>
        <v>4.13</v>
      </c>
      <c r="N424" s="140"/>
      <c r="O424" s="29">
        <f t="shared" si="43"/>
        <v>340</v>
      </c>
      <c r="P424" s="36">
        <v>340</v>
      </c>
    </row>
    <row r="425" spans="1:16" x14ac:dyDescent="0.25">
      <c r="A425" s="140" t="s">
        <v>223</v>
      </c>
      <c r="B425" s="269">
        <v>8.5950000000000006</v>
      </c>
      <c r="C425" s="270">
        <v>0</v>
      </c>
      <c r="D425" s="276" t="s">
        <v>61</v>
      </c>
      <c r="E425" s="272" t="s">
        <v>34</v>
      </c>
      <c r="F425" s="273">
        <v>1.5</v>
      </c>
      <c r="G425" s="274">
        <f t="shared" si="41"/>
        <v>3.56</v>
      </c>
      <c r="H425" s="277">
        <f t="shared" si="45"/>
        <v>3.75</v>
      </c>
      <c r="I425" s="274">
        <f t="shared" si="42"/>
        <v>4.13</v>
      </c>
      <c r="J425" s="306"/>
      <c r="K425" s="307">
        <f t="shared" si="38"/>
        <v>5.34</v>
      </c>
      <c r="L425" s="277">
        <f t="shared" si="39"/>
        <v>5.625</v>
      </c>
      <c r="M425" s="274">
        <f t="shared" si="40"/>
        <v>6.1950000000000003</v>
      </c>
      <c r="N425" s="140"/>
      <c r="O425" s="29">
        <f t="shared" si="43"/>
        <v>510</v>
      </c>
      <c r="P425" s="36">
        <v>340</v>
      </c>
    </row>
    <row r="426" spans="1:16" x14ac:dyDescent="0.25">
      <c r="A426" s="140" t="s">
        <v>224</v>
      </c>
      <c r="B426" s="269">
        <v>11.46</v>
      </c>
      <c r="C426" s="270">
        <v>0</v>
      </c>
      <c r="D426" s="276" t="s">
        <v>62</v>
      </c>
      <c r="E426" s="272" t="s">
        <v>34</v>
      </c>
      <c r="F426" s="273">
        <v>2</v>
      </c>
      <c r="G426" s="274">
        <f t="shared" si="41"/>
        <v>3.56</v>
      </c>
      <c r="H426" s="277">
        <f t="shared" si="45"/>
        <v>3.75</v>
      </c>
      <c r="I426" s="274">
        <f t="shared" si="42"/>
        <v>4.13</v>
      </c>
      <c r="J426" s="306"/>
      <c r="K426" s="307">
        <f t="shared" si="38"/>
        <v>7.12</v>
      </c>
      <c r="L426" s="277">
        <f t="shared" si="39"/>
        <v>7.5</v>
      </c>
      <c r="M426" s="274">
        <f t="shared" si="40"/>
        <v>8.26</v>
      </c>
      <c r="N426" s="140"/>
      <c r="O426" s="29">
        <f t="shared" si="43"/>
        <v>680</v>
      </c>
      <c r="P426" s="36">
        <v>340</v>
      </c>
    </row>
    <row r="427" spans="1:16" x14ac:dyDescent="0.25">
      <c r="A427" s="140" t="s">
        <v>225</v>
      </c>
      <c r="B427" s="269">
        <v>14.325000000000001</v>
      </c>
      <c r="C427" s="270">
        <v>0</v>
      </c>
      <c r="D427" s="276" t="s">
        <v>63</v>
      </c>
      <c r="E427" s="272" t="s">
        <v>34</v>
      </c>
      <c r="F427" s="273">
        <v>2.5</v>
      </c>
      <c r="G427" s="274">
        <f t="shared" si="41"/>
        <v>3.56</v>
      </c>
      <c r="H427" s="277">
        <f t="shared" si="45"/>
        <v>3.75</v>
      </c>
      <c r="I427" s="274">
        <f t="shared" si="42"/>
        <v>4.13</v>
      </c>
      <c r="J427" s="306"/>
      <c r="K427" s="307">
        <f t="shared" si="38"/>
        <v>8.9</v>
      </c>
      <c r="L427" s="277">
        <f t="shared" si="39"/>
        <v>9.375</v>
      </c>
      <c r="M427" s="274">
        <f t="shared" si="40"/>
        <v>10.324999999999999</v>
      </c>
      <c r="N427" s="140"/>
      <c r="O427" s="29">
        <f t="shared" si="43"/>
        <v>850</v>
      </c>
      <c r="P427" s="36">
        <v>340</v>
      </c>
    </row>
    <row r="428" spans="1:16" x14ac:dyDescent="0.25">
      <c r="A428" s="140" t="s">
        <v>226</v>
      </c>
      <c r="B428" s="269">
        <v>17.190000000000001</v>
      </c>
      <c r="C428" s="270">
        <v>0</v>
      </c>
      <c r="D428" s="276" t="s">
        <v>64</v>
      </c>
      <c r="E428" s="272" t="s">
        <v>34</v>
      </c>
      <c r="F428" s="273">
        <v>3</v>
      </c>
      <c r="G428" s="274">
        <f t="shared" si="41"/>
        <v>3.56</v>
      </c>
      <c r="H428" s="277">
        <f t="shared" si="45"/>
        <v>3.75</v>
      </c>
      <c r="I428" s="274">
        <f t="shared" si="42"/>
        <v>4.13</v>
      </c>
      <c r="J428" s="306"/>
      <c r="K428" s="307">
        <f t="shared" si="38"/>
        <v>10.68</v>
      </c>
      <c r="L428" s="277">
        <f t="shared" si="39"/>
        <v>11.25</v>
      </c>
      <c r="M428" s="274">
        <f t="shared" si="40"/>
        <v>12.39</v>
      </c>
      <c r="N428" s="140"/>
      <c r="O428" s="29">
        <f t="shared" si="43"/>
        <v>1020</v>
      </c>
      <c r="P428" s="36">
        <v>340</v>
      </c>
    </row>
    <row r="429" spans="1:16" x14ac:dyDescent="0.25">
      <c r="A429" s="140" t="s">
        <v>227</v>
      </c>
      <c r="B429" s="269">
        <v>3.7</v>
      </c>
      <c r="C429" s="270">
        <v>0</v>
      </c>
      <c r="D429" s="276" t="s">
        <v>149</v>
      </c>
      <c r="E429" s="272" t="s">
        <v>34</v>
      </c>
      <c r="F429" s="273">
        <v>0.8</v>
      </c>
      <c r="G429" s="274">
        <f t="shared" ref="G429" si="46">ROUND(H429*0.95,2)</f>
        <v>3.56</v>
      </c>
      <c r="H429" s="275">
        <f>$B$393*3.75</f>
        <v>3.75</v>
      </c>
      <c r="I429" s="274">
        <f t="shared" ref="I429" si="47">ROUND(H429*1.1,2)</f>
        <v>4.13</v>
      </c>
      <c r="J429" s="306"/>
      <c r="K429" s="307">
        <f t="shared" ref="K429" si="48">G429*F429</f>
        <v>2.8480000000000003</v>
      </c>
      <c r="L429" s="277">
        <f t="shared" ref="L429" si="49">H429*F429</f>
        <v>3</v>
      </c>
      <c r="M429" s="274">
        <f t="shared" ref="M429" si="50">I429*F429</f>
        <v>3.3040000000000003</v>
      </c>
      <c r="N429" s="140"/>
      <c r="O429" s="29">
        <f t="shared" si="43"/>
        <v>272</v>
      </c>
      <c r="P429" s="36">
        <v>340</v>
      </c>
    </row>
    <row r="430" spans="1:16" x14ac:dyDescent="0.25">
      <c r="A430" s="140" t="s">
        <v>228</v>
      </c>
      <c r="B430" s="269">
        <v>3.7</v>
      </c>
      <c r="C430" s="270">
        <v>0</v>
      </c>
      <c r="D430" s="276" t="s">
        <v>65</v>
      </c>
      <c r="E430" s="272" t="s">
        <v>34</v>
      </c>
      <c r="F430" s="273">
        <v>1</v>
      </c>
      <c r="G430" s="274">
        <f t="shared" si="41"/>
        <v>3.56</v>
      </c>
      <c r="H430" s="275">
        <f>$B$393*3.75</f>
        <v>3.75</v>
      </c>
      <c r="I430" s="274">
        <f t="shared" si="42"/>
        <v>4.13</v>
      </c>
      <c r="J430" s="306"/>
      <c r="K430" s="307">
        <f t="shared" si="38"/>
        <v>3.56</v>
      </c>
      <c r="L430" s="277">
        <f t="shared" si="39"/>
        <v>3.75</v>
      </c>
      <c r="M430" s="274">
        <f t="shared" si="40"/>
        <v>4.13</v>
      </c>
      <c r="N430" s="140"/>
      <c r="O430" s="29">
        <f t="shared" si="43"/>
        <v>340</v>
      </c>
      <c r="P430" s="36">
        <v>340</v>
      </c>
    </row>
    <row r="431" spans="1:16" x14ac:dyDescent="0.25">
      <c r="A431" s="140" t="s">
        <v>229</v>
      </c>
      <c r="B431" s="269">
        <v>4.4400000000000004</v>
      </c>
      <c r="C431" s="270">
        <v>0</v>
      </c>
      <c r="D431" s="276" t="s">
        <v>66</v>
      </c>
      <c r="E431" s="272" t="s">
        <v>34</v>
      </c>
      <c r="F431" s="273">
        <v>1.2</v>
      </c>
      <c r="G431" s="274">
        <f t="shared" si="41"/>
        <v>3.56</v>
      </c>
      <c r="H431" s="277">
        <f>H430</f>
        <v>3.75</v>
      </c>
      <c r="I431" s="274">
        <f t="shared" si="42"/>
        <v>4.13</v>
      </c>
      <c r="J431" s="306"/>
      <c r="K431" s="307">
        <f t="shared" ref="K431:K464" si="51">G431*F431</f>
        <v>4.2720000000000002</v>
      </c>
      <c r="L431" s="277">
        <f t="shared" ref="L431:L464" si="52">H431*F431</f>
        <v>4.5</v>
      </c>
      <c r="M431" s="274">
        <f t="shared" ref="M431:M464" si="53">I431*F431</f>
        <v>4.9559999999999995</v>
      </c>
      <c r="N431" s="140"/>
      <c r="O431" s="29">
        <f t="shared" si="43"/>
        <v>408</v>
      </c>
      <c r="P431" s="36">
        <v>340</v>
      </c>
    </row>
    <row r="432" spans="1:16" x14ac:dyDescent="0.25">
      <c r="A432" s="140" t="s">
        <v>230</v>
      </c>
      <c r="B432" s="269">
        <v>6.29</v>
      </c>
      <c r="C432" s="270">
        <v>0</v>
      </c>
      <c r="D432" s="276" t="s">
        <v>67</v>
      </c>
      <c r="E432" s="272" t="s">
        <v>34</v>
      </c>
      <c r="F432" s="273">
        <v>1.7</v>
      </c>
      <c r="G432" s="274">
        <f t="shared" si="41"/>
        <v>3.56</v>
      </c>
      <c r="H432" s="277">
        <f t="shared" ref="H432:H435" si="54">H431</f>
        <v>3.75</v>
      </c>
      <c r="I432" s="274">
        <f t="shared" si="42"/>
        <v>4.13</v>
      </c>
      <c r="J432" s="306"/>
      <c r="K432" s="307">
        <f t="shared" si="51"/>
        <v>6.0519999999999996</v>
      </c>
      <c r="L432" s="277">
        <f t="shared" si="52"/>
        <v>6.375</v>
      </c>
      <c r="M432" s="274">
        <f t="shared" si="53"/>
        <v>7.0209999999999999</v>
      </c>
      <c r="N432" s="140"/>
      <c r="O432" s="29">
        <f t="shared" si="43"/>
        <v>578</v>
      </c>
      <c r="P432" s="36">
        <v>340</v>
      </c>
    </row>
    <row r="433" spans="1:16" x14ac:dyDescent="0.25">
      <c r="A433" s="140" t="s">
        <v>231</v>
      </c>
      <c r="B433" s="269">
        <v>8.14</v>
      </c>
      <c r="C433" s="270">
        <v>0</v>
      </c>
      <c r="D433" s="276" t="s">
        <v>68</v>
      </c>
      <c r="E433" s="272" t="s">
        <v>34</v>
      </c>
      <c r="F433" s="273">
        <v>2.2000000000000002</v>
      </c>
      <c r="G433" s="274">
        <f t="shared" ref="G433" si="55">ROUND(H433*0.95,2)</f>
        <v>3.56</v>
      </c>
      <c r="H433" s="277">
        <f>H431</f>
        <v>3.75</v>
      </c>
      <c r="I433" s="274">
        <f t="shared" ref="I433" si="56">ROUND(H433*1.1,2)</f>
        <v>4.13</v>
      </c>
      <c r="J433" s="306"/>
      <c r="K433" s="307">
        <f t="shared" ref="K433" si="57">G433*F433</f>
        <v>7.8320000000000007</v>
      </c>
      <c r="L433" s="277">
        <f t="shared" ref="L433" si="58">H433*F433</f>
        <v>8.25</v>
      </c>
      <c r="M433" s="274">
        <f t="shared" ref="M433" si="59">I433*F433</f>
        <v>9.0860000000000003</v>
      </c>
      <c r="N433" s="140"/>
      <c r="O433" s="29">
        <f t="shared" si="43"/>
        <v>748.00000000000011</v>
      </c>
      <c r="P433" s="36">
        <v>340</v>
      </c>
    </row>
    <row r="434" spans="1:16" x14ac:dyDescent="0.25">
      <c r="A434" s="140" t="s">
        <v>232</v>
      </c>
      <c r="B434" s="269">
        <v>8.14</v>
      </c>
      <c r="C434" s="270">
        <v>0</v>
      </c>
      <c r="D434" s="276" t="s">
        <v>69</v>
      </c>
      <c r="E434" s="272" t="s">
        <v>34</v>
      </c>
      <c r="F434" s="273">
        <v>2.4</v>
      </c>
      <c r="G434" s="274">
        <f t="shared" si="41"/>
        <v>3.56</v>
      </c>
      <c r="H434" s="277">
        <f>H432</f>
        <v>3.75</v>
      </c>
      <c r="I434" s="274">
        <f t="shared" si="42"/>
        <v>4.13</v>
      </c>
      <c r="J434" s="306"/>
      <c r="K434" s="307">
        <f t="shared" si="51"/>
        <v>8.5440000000000005</v>
      </c>
      <c r="L434" s="277">
        <f t="shared" si="52"/>
        <v>9</v>
      </c>
      <c r="M434" s="274">
        <f t="shared" si="53"/>
        <v>9.911999999999999</v>
      </c>
      <c r="N434" s="140"/>
      <c r="O434" s="29">
        <f t="shared" si="43"/>
        <v>816</v>
      </c>
      <c r="P434" s="36">
        <v>340</v>
      </c>
    </row>
    <row r="435" spans="1:16" x14ac:dyDescent="0.25">
      <c r="A435" s="140" t="s">
        <v>233</v>
      </c>
      <c r="B435" s="269">
        <v>8.8800000000000008</v>
      </c>
      <c r="C435" s="270">
        <v>0</v>
      </c>
      <c r="D435" s="276" t="s">
        <v>148</v>
      </c>
      <c r="E435" s="272" t="s">
        <v>34</v>
      </c>
      <c r="F435" s="273">
        <v>2.5</v>
      </c>
      <c r="G435" s="274">
        <f t="shared" si="41"/>
        <v>3.56</v>
      </c>
      <c r="H435" s="277">
        <f t="shared" si="54"/>
        <v>3.75</v>
      </c>
      <c r="I435" s="274">
        <f t="shared" si="42"/>
        <v>4.13</v>
      </c>
      <c r="J435" s="306"/>
      <c r="K435" s="307">
        <f t="shared" si="51"/>
        <v>8.9</v>
      </c>
      <c r="L435" s="277">
        <f t="shared" si="52"/>
        <v>9.375</v>
      </c>
      <c r="M435" s="274">
        <f t="shared" si="53"/>
        <v>10.324999999999999</v>
      </c>
      <c r="N435" s="140"/>
      <c r="O435" s="29">
        <f t="shared" si="43"/>
        <v>850</v>
      </c>
      <c r="P435" s="36">
        <v>340</v>
      </c>
    </row>
    <row r="436" spans="1:16" x14ac:dyDescent="0.25">
      <c r="A436" s="140" t="s">
        <v>234</v>
      </c>
      <c r="B436" s="269">
        <v>2.9600000000000004</v>
      </c>
      <c r="C436" s="270">
        <v>0</v>
      </c>
      <c r="D436" s="276" t="s">
        <v>70</v>
      </c>
      <c r="E436" s="272" t="s">
        <v>34</v>
      </c>
      <c r="F436" s="273">
        <v>0.8</v>
      </c>
      <c r="G436" s="274">
        <f t="shared" si="41"/>
        <v>3.56</v>
      </c>
      <c r="H436" s="275">
        <f>$B$393*3.75</f>
        <v>3.75</v>
      </c>
      <c r="I436" s="274">
        <f t="shared" si="42"/>
        <v>4.13</v>
      </c>
      <c r="J436" s="306"/>
      <c r="K436" s="307">
        <f t="shared" si="51"/>
        <v>2.8480000000000003</v>
      </c>
      <c r="L436" s="277">
        <f t="shared" si="52"/>
        <v>3</v>
      </c>
      <c r="M436" s="274">
        <f t="shared" si="53"/>
        <v>3.3040000000000003</v>
      </c>
      <c r="N436" s="140"/>
      <c r="O436" s="29">
        <f t="shared" si="43"/>
        <v>272</v>
      </c>
      <c r="P436" s="36">
        <v>340</v>
      </c>
    </row>
    <row r="437" spans="1:16" x14ac:dyDescent="0.25">
      <c r="A437" s="140" t="s">
        <v>235</v>
      </c>
      <c r="B437" s="269">
        <v>3.7</v>
      </c>
      <c r="C437" s="270">
        <v>0</v>
      </c>
      <c r="D437" s="276" t="s">
        <v>71</v>
      </c>
      <c r="E437" s="272" t="s">
        <v>34</v>
      </c>
      <c r="F437" s="273">
        <v>1</v>
      </c>
      <c r="G437" s="274">
        <f t="shared" si="41"/>
        <v>3.56</v>
      </c>
      <c r="H437" s="277">
        <f t="shared" ref="H437:H442" si="60">$H$436</f>
        <v>3.75</v>
      </c>
      <c r="I437" s="274">
        <f t="shared" si="42"/>
        <v>4.13</v>
      </c>
      <c r="J437" s="306"/>
      <c r="K437" s="307">
        <f t="shared" si="51"/>
        <v>3.56</v>
      </c>
      <c r="L437" s="277">
        <f t="shared" si="52"/>
        <v>3.75</v>
      </c>
      <c r="M437" s="274">
        <f t="shared" si="53"/>
        <v>4.13</v>
      </c>
      <c r="N437" s="140"/>
      <c r="O437" s="29">
        <f t="shared" si="43"/>
        <v>340</v>
      </c>
      <c r="P437" s="36">
        <v>340</v>
      </c>
    </row>
    <row r="438" spans="1:16" x14ac:dyDescent="0.25">
      <c r="A438" s="140" t="s">
        <v>236</v>
      </c>
      <c r="B438" s="269">
        <v>4.4400000000000004</v>
      </c>
      <c r="C438" s="270">
        <v>0</v>
      </c>
      <c r="D438" s="276" t="s">
        <v>72</v>
      </c>
      <c r="E438" s="272" t="s">
        <v>34</v>
      </c>
      <c r="F438" s="273">
        <v>1.2</v>
      </c>
      <c r="G438" s="274">
        <f t="shared" si="41"/>
        <v>3.56</v>
      </c>
      <c r="H438" s="277">
        <f t="shared" si="60"/>
        <v>3.75</v>
      </c>
      <c r="I438" s="274">
        <f t="shared" si="42"/>
        <v>4.13</v>
      </c>
      <c r="J438" s="306"/>
      <c r="K438" s="307">
        <f t="shared" si="51"/>
        <v>4.2720000000000002</v>
      </c>
      <c r="L438" s="277">
        <f t="shared" si="52"/>
        <v>4.5</v>
      </c>
      <c r="M438" s="274">
        <f t="shared" si="53"/>
        <v>4.9559999999999995</v>
      </c>
      <c r="N438" s="140"/>
      <c r="O438" s="29">
        <f t="shared" si="43"/>
        <v>408</v>
      </c>
      <c r="P438" s="36">
        <v>340</v>
      </c>
    </row>
    <row r="439" spans="1:16" x14ac:dyDescent="0.25">
      <c r="A439" s="140" t="s">
        <v>237</v>
      </c>
      <c r="B439" s="269">
        <v>6.29</v>
      </c>
      <c r="C439" s="270">
        <v>0</v>
      </c>
      <c r="D439" s="276" t="s">
        <v>73</v>
      </c>
      <c r="E439" s="272" t="s">
        <v>34</v>
      </c>
      <c r="F439" s="273">
        <v>1.7</v>
      </c>
      <c r="G439" s="274">
        <f t="shared" si="41"/>
        <v>3.56</v>
      </c>
      <c r="H439" s="277">
        <f t="shared" si="60"/>
        <v>3.75</v>
      </c>
      <c r="I439" s="274">
        <f t="shared" si="42"/>
        <v>4.13</v>
      </c>
      <c r="J439" s="306"/>
      <c r="K439" s="307">
        <f t="shared" si="51"/>
        <v>6.0519999999999996</v>
      </c>
      <c r="L439" s="277">
        <f t="shared" si="52"/>
        <v>6.375</v>
      </c>
      <c r="M439" s="274">
        <f t="shared" si="53"/>
        <v>7.0209999999999999</v>
      </c>
      <c r="N439" s="140"/>
      <c r="O439" s="29">
        <f t="shared" si="43"/>
        <v>578</v>
      </c>
      <c r="P439" s="36">
        <v>340</v>
      </c>
    </row>
    <row r="440" spans="1:16" x14ac:dyDescent="0.25">
      <c r="A440" s="140" t="s">
        <v>238</v>
      </c>
      <c r="B440" s="269">
        <v>8.14</v>
      </c>
      <c r="C440" s="270">
        <v>0</v>
      </c>
      <c r="D440" s="276" t="s">
        <v>74</v>
      </c>
      <c r="E440" s="272" t="s">
        <v>34</v>
      </c>
      <c r="F440" s="273">
        <v>2.2000000000000002</v>
      </c>
      <c r="G440" s="274">
        <f t="shared" si="41"/>
        <v>3.56</v>
      </c>
      <c r="H440" s="277">
        <f t="shared" si="60"/>
        <v>3.75</v>
      </c>
      <c r="I440" s="274">
        <f t="shared" si="42"/>
        <v>4.13</v>
      </c>
      <c r="J440" s="306"/>
      <c r="K440" s="307">
        <f t="shared" si="51"/>
        <v>7.8320000000000007</v>
      </c>
      <c r="L440" s="277">
        <f t="shared" si="52"/>
        <v>8.25</v>
      </c>
      <c r="M440" s="274">
        <f t="shared" si="53"/>
        <v>9.0860000000000003</v>
      </c>
      <c r="N440" s="140"/>
      <c r="O440" s="29">
        <f t="shared" si="43"/>
        <v>748.00000000000011</v>
      </c>
      <c r="P440" s="36">
        <v>340</v>
      </c>
    </row>
    <row r="441" spans="1:16" x14ac:dyDescent="0.25">
      <c r="A441" s="140" t="s">
        <v>239</v>
      </c>
      <c r="B441" s="269">
        <v>8.8800000000000008</v>
      </c>
      <c r="C441" s="270">
        <v>0</v>
      </c>
      <c r="D441" s="276" t="s">
        <v>75</v>
      </c>
      <c r="E441" s="272" t="s">
        <v>34</v>
      </c>
      <c r="F441" s="273">
        <v>2.4</v>
      </c>
      <c r="G441" s="274">
        <f t="shared" si="41"/>
        <v>3.56</v>
      </c>
      <c r="H441" s="277">
        <f t="shared" si="60"/>
        <v>3.75</v>
      </c>
      <c r="I441" s="274">
        <f t="shared" si="42"/>
        <v>4.13</v>
      </c>
      <c r="J441" s="306"/>
      <c r="K441" s="307">
        <f t="shared" si="51"/>
        <v>8.5440000000000005</v>
      </c>
      <c r="L441" s="277">
        <f t="shared" si="52"/>
        <v>9</v>
      </c>
      <c r="M441" s="274">
        <f t="shared" si="53"/>
        <v>9.911999999999999</v>
      </c>
      <c r="N441" s="140"/>
      <c r="O441" s="29">
        <f t="shared" si="43"/>
        <v>816</v>
      </c>
      <c r="P441" s="36">
        <v>340</v>
      </c>
    </row>
    <row r="442" spans="1:16" x14ac:dyDescent="0.25">
      <c r="A442" s="140" t="s">
        <v>240</v>
      </c>
      <c r="B442" s="269">
        <v>9.25</v>
      </c>
      <c r="C442" s="270">
        <v>0</v>
      </c>
      <c r="D442" s="276" t="s">
        <v>76</v>
      </c>
      <c r="E442" s="272" t="s">
        <v>34</v>
      </c>
      <c r="F442" s="273">
        <v>2.5</v>
      </c>
      <c r="G442" s="274">
        <f t="shared" si="41"/>
        <v>3.56</v>
      </c>
      <c r="H442" s="277">
        <f t="shared" si="60"/>
        <v>3.75</v>
      </c>
      <c r="I442" s="274">
        <f t="shared" si="42"/>
        <v>4.13</v>
      </c>
      <c r="J442" s="306"/>
      <c r="K442" s="307">
        <f t="shared" si="51"/>
        <v>8.9</v>
      </c>
      <c r="L442" s="277">
        <f t="shared" si="52"/>
        <v>9.375</v>
      </c>
      <c r="M442" s="274">
        <f t="shared" si="53"/>
        <v>10.324999999999999</v>
      </c>
      <c r="N442" s="140"/>
      <c r="O442" s="29">
        <f t="shared" si="43"/>
        <v>850</v>
      </c>
      <c r="P442" s="36">
        <v>340</v>
      </c>
    </row>
    <row r="443" spans="1:16" x14ac:dyDescent="0.25">
      <c r="A443" s="140" t="s">
        <v>241</v>
      </c>
      <c r="B443" s="269">
        <v>8.5839999999999996</v>
      </c>
      <c r="C443" s="270">
        <v>0</v>
      </c>
      <c r="D443" s="276" t="s">
        <v>77</v>
      </c>
      <c r="E443" s="272" t="s">
        <v>34</v>
      </c>
      <c r="F443" s="273">
        <v>2.3199999999999998</v>
      </c>
      <c r="G443" s="274">
        <f t="shared" si="41"/>
        <v>3.39</v>
      </c>
      <c r="H443" s="275">
        <f>$B$393*3.57</f>
        <v>3.57</v>
      </c>
      <c r="I443" s="274">
        <f t="shared" si="42"/>
        <v>3.93</v>
      </c>
      <c r="J443" s="306"/>
      <c r="K443" s="307">
        <f t="shared" si="51"/>
        <v>7.8647999999999998</v>
      </c>
      <c r="L443" s="277">
        <f t="shared" si="52"/>
        <v>8.2823999999999991</v>
      </c>
      <c r="M443" s="274">
        <f t="shared" si="53"/>
        <v>9.1175999999999995</v>
      </c>
      <c r="N443" s="140"/>
      <c r="O443" s="29">
        <f t="shared" si="43"/>
        <v>788.8</v>
      </c>
      <c r="P443" s="36">
        <v>340</v>
      </c>
    </row>
    <row r="444" spans="1:16" x14ac:dyDescent="0.25">
      <c r="A444" s="140" t="s">
        <v>242</v>
      </c>
      <c r="B444" s="269">
        <v>9.620000000000001</v>
      </c>
      <c r="C444" s="270">
        <v>0</v>
      </c>
      <c r="D444" s="276" t="s">
        <v>78</v>
      </c>
      <c r="E444" s="272" t="s">
        <v>34</v>
      </c>
      <c r="F444" s="273">
        <v>2.6</v>
      </c>
      <c r="G444" s="274">
        <f t="shared" si="41"/>
        <v>3.39</v>
      </c>
      <c r="H444" s="277">
        <f>$H$443</f>
        <v>3.57</v>
      </c>
      <c r="I444" s="274">
        <f t="shared" si="42"/>
        <v>3.93</v>
      </c>
      <c r="J444" s="306"/>
      <c r="K444" s="307">
        <f t="shared" si="51"/>
        <v>8.8140000000000001</v>
      </c>
      <c r="L444" s="277">
        <f t="shared" si="52"/>
        <v>9.282</v>
      </c>
      <c r="M444" s="274">
        <f t="shared" si="53"/>
        <v>10.218</v>
      </c>
      <c r="N444" s="140"/>
      <c r="O444" s="29">
        <f t="shared" si="43"/>
        <v>884</v>
      </c>
      <c r="P444" s="36">
        <v>340</v>
      </c>
    </row>
    <row r="445" spans="1:16" x14ac:dyDescent="0.25">
      <c r="A445" s="140" t="s">
        <v>243</v>
      </c>
      <c r="B445" s="269">
        <v>10.915000000000001</v>
      </c>
      <c r="C445" s="270">
        <v>0</v>
      </c>
      <c r="D445" s="276" t="s">
        <v>79</v>
      </c>
      <c r="E445" s="272" t="s">
        <v>34</v>
      </c>
      <c r="F445" s="273">
        <v>2.95</v>
      </c>
      <c r="G445" s="274">
        <f t="shared" si="41"/>
        <v>3.39</v>
      </c>
      <c r="H445" s="277">
        <f>$H$443</f>
        <v>3.57</v>
      </c>
      <c r="I445" s="274">
        <f t="shared" si="42"/>
        <v>3.93</v>
      </c>
      <c r="J445" s="306"/>
      <c r="K445" s="307">
        <f t="shared" si="51"/>
        <v>10.000500000000001</v>
      </c>
      <c r="L445" s="277">
        <f t="shared" si="52"/>
        <v>10.531499999999999</v>
      </c>
      <c r="M445" s="274">
        <f t="shared" si="53"/>
        <v>11.593500000000001</v>
      </c>
      <c r="N445" s="140"/>
      <c r="O445" s="29">
        <f t="shared" si="43"/>
        <v>1003.0000000000001</v>
      </c>
      <c r="P445" s="36">
        <v>340</v>
      </c>
    </row>
    <row r="446" spans="1:16" x14ac:dyDescent="0.25">
      <c r="A446" s="140" t="s">
        <v>244</v>
      </c>
      <c r="B446" s="269">
        <v>11.396000000000001</v>
      </c>
      <c r="C446" s="270">
        <v>0</v>
      </c>
      <c r="D446" s="276" t="s">
        <v>80</v>
      </c>
      <c r="E446" s="272" t="s">
        <v>34</v>
      </c>
      <c r="F446" s="273">
        <v>3.08</v>
      </c>
      <c r="G446" s="274">
        <f t="shared" si="41"/>
        <v>3.39</v>
      </c>
      <c r="H446" s="277">
        <f>$H$443</f>
        <v>3.57</v>
      </c>
      <c r="I446" s="274">
        <f t="shared" si="42"/>
        <v>3.93</v>
      </c>
      <c r="J446" s="306"/>
      <c r="K446" s="307">
        <f t="shared" si="51"/>
        <v>10.4412</v>
      </c>
      <c r="L446" s="277">
        <f t="shared" si="52"/>
        <v>10.9956</v>
      </c>
      <c r="M446" s="274">
        <f t="shared" si="53"/>
        <v>12.1044</v>
      </c>
      <c r="N446" s="140"/>
      <c r="O446" s="29">
        <f t="shared" si="43"/>
        <v>1047.2</v>
      </c>
      <c r="P446" s="36">
        <v>340</v>
      </c>
    </row>
    <row r="447" spans="1:16" x14ac:dyDescent="0.25">
      <c r="A447" s="140" t="s">
        <v>115</v>
      </c>
      <c r="B447" s="269">
        <v>1.2</v>
      </c>
      <c r="C447" s="270">
        <v>75.127499999999998</v>
      </c>
      <c r="D447" s="276" t="s">
        <v>81</v>
      </c>
      <c r="E447" s="272" t="s">
        <v>82</v>
      </c>
      <c r="F447" s="273">
        <v>1</v>
      </c>
      <c r="G447" s="274">
        <f t="shared" si="41"/>
        <v>2.96</v>
      </c>
      <c r="H447" s="275">
        <f>3.12*$B$395</f>
        <v>3.12</v>
      </c>
      <c r="I447" s="274">
        <f t="shared" si="42"/>
        <v>3.43</v>
      </c>
      <c r="J447" s="306"/>
      <c r="K447" s="307">
        <f t="shared" si="51"/>
        <v>2.96</v>
      </c>
      <c r="L447" s="277">
        <f t="shared" si="52"/>
        <v>3.12</v>
      </c>
      <c r="M447" s="274">
        <f t="shared" si="53"/>
        <v>3.43</v>
      </c>
      <c r="N447" s="140"/>
      <c r="O447" s="29">
        <f t="shared" si="43"/>
        <v>57</v>
      </c>
      <c r="P447" s="36">
        <v>57</v>
      </c>
    </row>
    <row r="448" spans="1:16" x14ac:dyDescent="0.25">
      <c r="A448" s="140" t="s">
        <v>117</v>
      </c>
      <c r="B448" s="269">
        <v>1.25</v>
      </c>
      <c r="C448" s="270">
        <v>5.58984375</v>
      </c>
      <c r="D448" s="276" t="s">
        <v>83</v>
      </c>
      <c r="E448" s="272" t="s">
        <v>82</v>
      </c>
      <c r="F448" s="273">
        <v>1</v>
      </c>
      <c r="G448" s="274">
        <f t="shared" si="41"/>
        <v>3.18</v>
      </c>
      <c r="H448" s="275">
        <f>3.35*$B$395</f>
        <v>3.35</v>
      </c>
      <c r="I448" s="274">
        <f t="shared" si="42"/>
        <v>3.69</v>
      </c>
      <c r="J448" s="306"/>
      <c r="K448" s="307">
        <f t="shared" si="51"/>
        <v>3.18</v>
      </c>
      <c r="L448" s="277">
        <f t="shared" si="52"/>
        <v>3.35</v>
      </c>
      <c r="M448" s="274">
        <f t="shared" si="53"/>
        <v>3.69</v>
      </c>
      <c r="N448" s="140"/>
      <c r="O448" s="29">
        <f t="shared" si="43"/>
        <v>57</v>
      </c>
      <c r="P448" s="36">
        <v>57</v>
      </c>
    </row>
    <row r="449" spans="1:16" x14ac:dyDescent="0.25">
      <c r="A449" s="140" t="s">
        <v>84</v>
      </c>
      <c r="B449" s="269">
        <v>3</v>
      </c>
      <c r="C449" s="270">
        <v>0</v>
      </c>
      <c r="D449" s="276" t="s">
        <v>84</v>
      </c>
      <c r="E449" s="272" t="s">
        <v>82</v>
      </c>
      <c r="F449" s="273">
        <v>1</v>
      </c>
      <c r="G449" s="274">
        <f t="shared" si="41"/>
        <v>2.19</v>
      </c>
      <c r="H449" s="275">
        <f>2.31*$B$395</f>
        <v>2.31</v>
      </c>
      <c r="I449" s="274">
        <f t="shared" si="42"/>
        <v>2.54</v>
      </c>
      <c r="J449" s="306"/>
      <c r="K449" s="307">
        <f t="shared" si="51"/>
        <v>2.19</v>
      </c>
      <c r="L449" s="277">
        <f t="shared" si="52"/>
        <v>2.31</v>
      </c>
      <c r="M449" s="274">
        <f t="shared" si="53"/>
        <v>2.54</v>
      </c>
      <c r="N449" s="140"/>
      <c r="O449" s="29">
        <f t="shared" si="43"/>
        <v>105</v>
      </c>
      <c r="P449" s="36">
        <v>105</v>
      </c>
    </row>
    <row r="450" spans="1:16" x14ac:dyDescent="0.25">
      <c r="A450" s="140" t="s">
        <v>85</v>
      </c>
      <c r="B450" s="269">
        <v>3</v>
      </c>
      <c r="C450" s="270">
        <v>0</v>
      </c>
      <c r="D450" s="276" t="s">
        <v>85</v>
      </c>
      <c r="E450" s="272" t="s">
        <v>82</v>
      </c>
      <c r="F450" s="273">
        <v>1</v>
      </c>
      <c r="G450" s="274">
        <f t="shared" si="41"/>
        <v>2.19</v>
      </c>
      <c r="H450" s="275">
        <f>2.31*$B$395</f>
        <v>2.31</v>
      </c>
      <c r="I450" s="274">
        <f t="shared" si="42"/>
        <v>2.54</v>
      </c>
      <c r="J450" s="306"/>
      <c r="K450" s="307">
        <f t="shared" si="51"/>
        <v>2.19</v>
      </c>
      <c r="L450" s="277">
        <f t="shared" si="52"/>
        <v>2.31</v>
      </c>
      <c r="M450" s="274">
        <f t="shared" si="53"/>
        <v>2.54</v>
      </c>
      <c r="N450" s="140"/>
      <c r="O450" s="29">
        <f t="shared" si="43"/>
        <v>165</v>
      </c>
      <c r="P450" s="36">
        <v>165</v>
      </c>
    </row>
    <row r="451" spans="1:16" x14ac:dyDescent="0.25">
      <c r="A451" s="140" t="s">
        <v>118</v>
      </c>
      <c r="B451" s="269">
        <v>3</v>
      </c>
      <c r="C451" s="270">
        <v>27.94921875</v>
      </c>
      <c r="D451" s="276" t="s">
        <v>86</v>
      </c>
      <c r="E451" s="272" t="s">
        <v>82</v>
      </c>
      <c r="F451" s="273">
        <v>1</v>
      </c>
      <c r="G451" s="274">
        <f t="shared" si="41"/>
        <v>2.19</v>
      </c>
      <c r="H451" s="275">
        <f>2.31*$B$395</f>
        <v>2.31</v>
      </c>
      <c r="I451" s="274">
        <f t="shared" si="42"/>
        <v>2.54</v>
      </c>
      <c r="J451" s="306"/>
      <c r="K451" s="307">
        <f t="shared" si="51"/>
        <v>2.19</v>
      </c>
      <c r="L451" s="277">
        <f t="shared" si="52"/>
        <v>2.31</v>
      </c>
      <c r="M451" s="274">
        <f t="shared" si="53"/>
        <v>2.54</v>
      </c>
      <c r="N451" s="140"/>
      <c r="O451" s="29">
        <f t="shared" si="43"/>
        <v>165</v>
      </c>
      <c r="P451" s="36">
        <v>165</v>
      </c>
    </row>
    <row r="452" spans="1:16" x14ac:dyDescent="0.25">
      <c r="A452" s="140" t="s">
        <v>119</v>
      </c>
      <c r="B452" s="269">
        <v>1.1000000000000001</v>
      </c>
      <c r="C452" s="270">
        <v>4.9190624999999999</v>
      </c>
      <c r="D452" s="276" t="s">
        <v>87</v>
      </c>
      <c r="E452" s="272" t="s">
        <v>82</v>
      </c>
      <c r="F452" s="273">
        <v>1</v>
      </c>
      <c r="G452" s="274">
        <f t="shared" si="41"/>
        <v>2.19</v>
      </c>
      <c r="H452" s="275">
        <f>2.31*$B$395</f>
        <v>2.31</v>
      </c>
      <c r="I452" s="274">
        <f t="shared" si="42"/>
        <v>2.54</v>
      </c>
      <c r="J452" s="306"/>
      <c r="K452" s="307">
        <f t="shared" si="51"/>
        <v>2.19</v>
      </c>
      <c r="L452" s="277">
        <f t="shared" si="52"/>
        <v>2.31</v>
      </c>
      <c r="M452" s="274">
        <f t="shared" si="53"/>
        <v>2.54</v>
      </c>
      <c r="N452" s="140"/>
      <c r="O452" s="29">
        <f t="shared" si="43"/>
        <v>48</v>
      </c>
      <c r="P452" s="36">
        <v>48</v>
      </c>
    </row>
    <row r="453" spans="1:16" x14ac:dyDescent="0.25">
      <c r="A453" s="140" t="s">
        <v>88</v>
      </c>
      <c r="B453" s="269">
        <v>1.24</v>
      </c>
      <c r="C453" s="270">
        <v>13.308299999999999</v>
      </c>
      <c r="D453" s="276" t="s">
        <v>88</v>
      </c>
      <c r="E453" s="272" t="s">
        <v>82</v>
      </c>
      <c r="F453" s="273">
        <v>1</v>
      </c>
      <c r="G453" s="274">
        <f t="shared" si="41"/>
        <v>2.75</v>
      </c>
      <c r="H453" s="275">
        <f>2.89*$B$395</f>
        <v>2.89</v>
      </c>
      <c r="I453" s="274">
        <f t="shared" si="42"/>
        <v>3.18</v>
      </c>
      <c r="J453" s="306"/>
      <c r="K453" s="307">
        <f t="shared" si="51"/>
        <v>2.75</v>
      </c>
      <c r="L453" s="277">
        <f t="shared" si="52"/>
        <v>2.89</v>
      </c>
      <c r="M453" s="274">
        <f t="shared" si="53"/>
        <v>3.18</v>
      </c>
      <c r="N453" s="140"/>
      <c r="O453" s="29">
        <f t="shared" si="43"/>
        <v>52</v>
      </c>
      <c r="P453" s="36">
        <v>52</v>
      </c>
    </row>
    <row r="454" spans="1:16" x14ac:dyDescent="0.25">
      <c r="A454" s="140" t="s">
        <v>89</v>
      </c>
      <c r="B454" s="269">
        <v>3.3</v>
      </c>
      <c r="C454" s="270">
        <v>35.417249999999996</v>
      </c>
      <c r="D454" s="276" t="s">
        <v>89</v>
      </c>
      <c r="E454" s="272" t="s">
        <v>82</v>
      </c>
      <c r="F454" s="273">
        <v>1</v>
      </c>
      <c r="G454" s="274">
        <f t="shared" si="41"/>
        <v>4.2300000000000004</v>
      </c>
      <c r="H454" s="275">
        <f>4.45*$B$395</f>
        <v>4.45</v>
      </c>
      <c r="I454" s="274">
        <f t="shared" si="42"/>
        <v>4.9000000000000004</v>
      </c>
      <c r="J454" s="306"/>
      <c r="K454" s="307">
        <f t="shared" si="51"/>
        <v>4.2300000000000004</v>
      </c>
      <c r="L454" s="277">
        <f t="shared" si="52"/>
        <v>4.45</v>
      </c>
      <c r="M454" s="274">
        <f t="shared" si="53"/>
        <v>4.9000000000000004</v>
      </c>
      <c r="N454" s="140"/>
      <c r="O454" s="29">
        <f t="shared" si="43"/>
        <v>105</v>
      </c>
      <c r="P454" s="36">
        <v>105</v>
      </c>
    </row>
    <row r="455" spans="1:16" x14ac:dyDescent="0.25">
      <c r="A455" s="140" t="s">
        <v>90</v>
      </c>
      <c r="B455" s="269">
        <v>12</v>
      </c>
      <c r="C455" s="270">
        <v>0</v>
      </c>
      <c r="D455" s="276" t="s">
        <v>90</v>
      </c>
      <c r="E455" s="272" t="s">
        <v>82</v>
      </c>
      <c r="F455" s="273">
        <v>1</v>
      </c>
      <c r="G455" s="274">
        <f t="shared" si="41"/>
        <v>19.75</v>
      </c>
      <c r="H455" s="275">
        <f>20.79*$B$395</f>
        <v>20.79</v>
      </c>
      <c r="I455" s="274">
        <f t="shared" si="42"/>
        <v>22.87</v>
      </c>
      <c r="J455" s="306"/>
      <c r="K455" s="307">
        <f t="shared" si="51"/>
        <v>19.75</v>
      </c>
      <c r="L455" s="277">
        <f t="shared" si="52"/>
        <v>20.79</v>
      </c>
      <c r="M455" s="274">
        <f t="shared" si="53"/>
        <v>22.87</v>
      </c>
      <c r="N455" s="140"/>
      <c r="O455" s="29">
        <f t="shared" si="43"/>
        <v>260</v>
      </c>
      <c r="P455" s="36">
        <v>260</v>
      </c>
    </row>
    <row r="456" spans="1:16" x14ac:dyDescent="0.25">
      <c r="A456" s="140" t="s">
        <v>91</v>
      </c>
      <c r="B456" s="269">
        <v>14</v>
      </c>
      <c r="C456" s="270">
        <v>43.4765625</v>
      </c>
      <c r="D456" s="276" t="s">
        <v>91</v>
      </c>
      <c r="E456" s="272" t="s">
        <v>82</v>
      </c>
      <c r="F456" s="273">
        <v>1</v>
      </c>
      <c r="G456" s="274">
        <f t="shared" si="41"/>
        <v>24.14</v>
      </c>
      <c r="H456" s="275">
        <f>25.41*$B$395</f>
        <v>25.41</v>
      </c>
      <c r="I456" s="274">
        <f t="shared" si="42"/>
        <v>27.95</v>
      </c>
      <c r="J456" s="306"/>
      <c r="K456" s="307">
        <f t="shared" si="51"/>
        <v>24.14</v>
      </c>
      <c r="L456" s="277">
        <f t="shared" si="52"/>
        <v>25.41</v>
      </c>
      <c r="M456" s="274">
        <f t="shared" si="53"/>
        <v>27.95</v>
      </c>
      <c r="N456" s="140"/>
      <c r="O456" s="29">
        <f t="shared" si="43"/>
        <v>380</v>
      </c>
      <c r="P456" s="36">
        <v>380</v>
      </c>
    </row>
    <row r="457" spans="1:16" x14ac:dyDescent="0.25">
      <c r="A457" s="140" t="s">
        <v>245</v>
      </c>
      <c r="B457" s="269">
        <v>1.85</v>
      </c>
      <c r="C457" s="270">
        <v>0</v>
      </c>
      <c r="D457" s="276" t="s">
        <v>92</v>
      </c>
      <c r="E457" s="272" t="s">
        <v>93</v>
      </c>
      <c r="F457" s="273">
        <v>0.5</v>
      </c>
      <c r="G457" s="274">
        <f t="shared" si="41"/>
        <v>2.42</v>
      </c>
      <c r="H457" s="275">
        <f>2.55*$B$395</f>
        <v>2.5499999999999998</v>
      </c>
      <c r="I457" s="274">
        <f t="shared" si="42"/>
        <v>2.81</v>
      </c>
      <c r="J457" s="306"/>
      <c r="K457" s="307">
        <f t="shared" si="51"/>
        <v>1.21</v>
      </c>
      <c r="L457" s="277">
        <f t="shared" si="52"/>
        <v>1.2749999999999999</v>
      </c>
      <c r="M457" s="274">
        <f t="shared" si="53"/>
        <v>1.405</v>
      </c>
      <c r="N457" s="140"/>
      <c r="O457" s="29">
        <f t="shared" si="43"/>
        <v>52.5</v>
      </c>
      <c r="P457" s="36">
        <v>105</v>
      </c>
    </row>
    <row r="458" spans="1:16" x14ac:dyDescent="0.25">
      <c r="A458" s="140" t="s">
        <v>246</v>
      </c>
      <c r="B458" s="269">
        <v>58.25</v>
      </c>
      <c r="C458" s="270">
        <v>0</v>
      </c>
      <c r="D458" s="276" t="s">
        <v>94</v>
      </c>
      <c r="E458" s="272" t="s">
        <v>82</v>
      </c>
      <c r="F458" s="273">
        <v>1</v>
      </c>
      <c r="G458" s="274">
        <f t="shared" si="41"/>
        <v>137.16</v>
      </c>
      <c r="H458" s="275">
        <f>144.38*B395</f>
        <v>144.38</v>
      </c>
      <c r="I458" s="274">
        <f t="shared" si="42"/>
        <v>158.82</v>
      </c>
      <c r="J458" s="306"/>
      <c r="K458" s="307">
        <f t="shared" si="51"/>
        <v>137.16</v>
      </c>
      <c r="L458" s="277">
        <f t="shared" si="52"/>
        <v>144.38</v>
      </c>
      <c r="M458" s="274">
        <f t="shared" si="53"/>
        <v>158.82</v>
      </c>
      <c r="N458" s="140"/>
      <c r="O458" s="181"/>
      <c r="P458" s="287"/>
    </row>
    <row r="459" spans="1:16" x14ac:dyDescent="0.25">
      <c r="A459" s="140" t="s">
        <v>247</v>
      </c>
      <c r="B459" s="269">
        <v>15</v>
      </c>
      <c r="C459" s="270">
        <v>0</v>
      </c>
      <c r="D459" s="276" t="s">
        <v>95</v>
      </c>
      <c r="E459" s="272" t="s">
        <v>82</v>
      </c>
      <c r="F459" s="273">
        <v>1</v>
      </c>
      <c r="G459" s="274">
        <f t="shared" si="41"/>
        <v>16.46</v>
      </c>
      <c r="H459" s="275">
        <f>17.33*B395</f>
        <v>17.329999999999998</v>
      </c>
      <c r="I459" s="274">
        <f t="shared" si="42"/>
        <v>19.059999999999999</v>
      </c>
      <c r="J459" s="306"/>
      <c r="K459" s="307">
        <f t="shared" si="51"/>
        <v>16.46</v>
      </c>
      <c r="L459" s="277">
        <f t="shared" si="52"/>
        <v>17.329999999999998</v>
      </c>
      <c r="M459" s="274">
        <f t="shared" si="53"/>
        <v>19.059999999999999</v>
      </c>
      <c r="N459" s="140"/>
      <c r="O459" s="181">
        <f t="shared" ref="O459:O474" si="61">P459*F459</f>
        <v>280</v>
      </c>
      <c r="P459" s="287">
        <v>280</v>
      </c>
    </row>
    <row r="460" spans="1:16" x14ac:dyDescent="0.25">
      <c r="A460" s="140" t="s">
        <v>151</v>
      </c>
      <c r="B460" s="269">
        <f>B459/2</f>
        <v>7.5</v>
      </c>
      <c r="C460" s="270">
        <v>0</v>
      </c>
      <c r="D460" s="276" t="s">
        <v>150</v>
      </c>
      <c r="E460" s="272" t="s">
        <v>82</v>
      </c>
      <c r="F460" s="273">
        <v>1</v>
      </c>
      <c r="G460" s="274">
        <f t="shared" ref="G460" si="62">ROUND(H460*0.95,2)</f>
        <v>39.5</v>
      </c>
      <c r="H460" s="275">
        <f>41.58*$B$395</f>
        <v>41.58</v>
      </c>
      <c r="I460" s="274">
        <f t="shared" ref="I460" si="63">ROUND(H460*1.1,2)</f>
        <v>45.74</v>
      </c>
      <c r="J460" s="306"/>
      <c r="K460" s="307">
        <f t="shared" ref="K460" si="64">G460*F460</f>
        <v>39.5</v>
      </c>
      <c r="L460" s="277">
        <f t="shared" ref="L460" si="65">H460*F460</f>
        <v>41.58</v>
      </c>
      <c r="M460" s="274">
        <f t="shared" ref="M460" si="66">I460*F460</f>
        <v>45.74</v>
      </c>
      <c r="N460" s="140"/>
      <c r="O460" s="181">
        <f t="shared" ref="O460" si="67">P460*F460</f>
        <v>280</v>
      </c>
      <c r="P460" s="287">
        <v>280</v>
      </c>
    </row>
    <row r="461" spans="1:16" x14ac:dyDescent="0.25">
      <c r="A461" s="140" t="s">
        <v>268</v>
      </c>
      <c r="B461" s="269">
        <f>3.5*F461</f>
        <v>3.5</v>
      </c>
      <c r="C461" s="279">
        <v>0</v>
      </c>
      <c r="D461" s="278" t="str">
        <f>A461</f>
        <v xml:space="preserve">RODÍZIO PARA ANDAIME </v>
      </c>
      <c r="E461" s="272" t="s">
        <v>82</v>
      </c>
      <c r="F461" s="273">
        <v>1</v>
      </c>
      <c r="G461" s="280">
        <f t="shared" si="41"/>
        <v>39.5</v>
      </c>
      <c r="H461" s="275">
        <f>41.58*$B$395</f>
        <v>41.58</v>
      </c>
      <c r="I461" s="280">
        <f t="shared" si="42"/>
        <v>45.74</v>
      </c>
      <c r="K461" s="308">
        <f t="shared" si="51"/>
        <v>39.5</v>
      </c>
      <c r="L461" s="309">
        <f t="shared" si="52"/>
        <v>41.58</v>
      </c>
      <c r="M461" s="280">
        <f t="shared" si="53"/>
        <v>45.74</v>
      </c>
      <c r="N461" s="140"/>
      <c r="O461" s="140"/>
      <c r="P461" s="140"/>
    </row>
    <row r="462" spans="1:16" x14ac:dyDescent="0.25">
      <c r="A462" s="140" t="s">
        <v>120</v>
      </c>
      <c r="B462" s="269">
        <v>10</v>
      </c>
      <c r="C462" s="270">
        <v>500</v>
      </c>
      <c r="D462" s="276" t="s">
        <v>96</v>
      </c>
      <c r="E462" s="272" t="s">
        <v>34</v>
      </c>
      <c r="F462" s="273">
        <v>1</v>
      </c>
      <c r="G462" s="274">
        <f t="shared" si="41"/>
        <v>9.48</v>
      </c>
      <c r="H462" s="275">
        <f>9.98*$B$394</f>
        <v>9.98</v>
      </c>
      <c r="I462" s="274">
        <f t="shared" si="42"/>
        <v>10.98</v>
      </c>
      <c r="J462" s="306"/>
      <c r="K462" s="307">
        <f t="shared" si="51"/>
        <v>9.48</v>
      </c>
      <c r="L462" s="277">
        <f t="shared" si="52"/>
        <v>9.98</v>
      </c>
      <c r="M462" s="274">
        <f t="shared" si="53"/>
        <v>10.98</v>
      </c>
      <c r="N462" s="140"/>
      <c r="O462" s="181">
        <f t="shared" si="61"/>
        <v>52</v>
      </c>
      <c r="P462" s="287">
        <v>52</v>
      </c>
    </row>
    <row r="463" spans="1:16" x14ac:dyDescent="0.25">
      <c r="A463" s="140" t="s">
        <v>248</v>
      </c>
      <c r="B463" s="269">
        <v>15</v>
      </c>
      <c r="C463" s="270">
        <v>0</v>
      </c>
      <c r="D463" s="276" t="s">
        <v>97</v>
      </c>
      <c r="E463" s="272" t="s">
        <v>34</v>
      </c>
      <c r="F463" s="273">
        <v>1.5</v>
      </c>
      <c r="G463" s="274">
        <f t="shared" si="41"/>
        <v>9.48</v>
      </c>
      <c r="H463" s="277">
        <f>H462</f>
        <v>9.98</v>
      </c>
      <c r="I463" s="274">
        <f t="shared" si="42"/>
        <v>10.98</v>
      </c>
      <c r="J463" s="306"/>
      <c r="K463" s="307">
        <f t="shared" si="51"/>
        <v>14.22</v>
      </c>
      <c r="L463" s="277">
        <f t="shared" si="52"/>
        <v>14.97</v>
      </c>
      <c r="M463" s="274">
        <f t="shared" si="53"/>
        <v>16.47</v>
      </c>
      <c r="N463" s="140"/>
      <c r="O463" s="181">
        <f t="shared" si="61"/>
        <v>78</v>
      </c>
      <c r="P463" s="287">
        <v>52</v>
      </c>
    </row>
    <row r="464" spans="1:16" x14ac:dyDescent="0.25">
      <c r="A464" s="140" t="s">
        <v>249</v>
      </c>
      <c r="B464" s="269">
        <v>20</v>
      </c>
      <c r="C464" s="270">
        <v>0</v>
      </c>
      <c r="D464" s="276" t="s">
        <v>98</v>
      </c>
      <c r="E464" s="272" t="s">
        <v>34</v>
      </c>
      <c r="F464" s="273">
        <v>2</v>
      </c>
      <c r="G464" s="274">
        <f t="shared" si="41"/>
        <v>9.48</v>
      </c>
      <c r="H464" s="277">
        <f>H463</f>
        <v>9.98</v>
      </c>
      <c r="I464" s="274">
        <f t="shared" si="42"/>
        <v>10.98</v>
      </c>
      <c r="J464" s="306"/>
      <c r="K464" s="307">
        <f t="shared" si="51"/>
        <v>18.96</v>
      </c>
      <c r="L464" s="277">
        <f t="shared" si="52"/>
        <v>19.96</v>
      </c>
      <c r="M464" s="274">
        <f t="shared" si="53"/>
        <v>21.96</v>
      </c>
      <c r="N464" s="140"/>
      <c r="O464" s="181">
        <f t="shared" si="61"/>
        <v>104</v>
      </c>
      <c r="P464" s="287">
        <v>52</v>
      </c>
    </row>
    <row r="465" spans="1:16" x14ac:dyDescent="0.25">
      <c r="A465" s="140" t="s">
        <v>250</v>
      </c>
      <c r="B465" s="269">
        <v>25</v>
      </c>
      <c r="C465" s="270">
        <v>0</v>
      </c>
      <c r="D465" s="276" t="s">
        <v>99</v>
      </c>
      <c r="E465" s="272" t="s">
        <v>34</v>
      </c>
      <c r="F465" s="273">
        <v>2.5</v>
      </c>
      <c r="G465" s="274">
        <f t="shared" si="41"/>
        <v>9.48</v>
      </c>
      <c r="H465" s="277">
        <f>H464</f>
        <v>9.98</v>
      </c>
      <c r="I465" s="274">
        <f t="shared" si="42"/>
        <v>10.98</v>
      </c>
      <c r="J465" s="306"/>
      <c r="K465" s="307">
        <f t="shared" ref="K465:K474" si="68">G465*F465</f>
        <v>23.700000000000003</v>
      </c>
      <c r="L465" s="277">
        <f t="shared" ref="L465:L474" si="69">H465*F465</f>
        <v>24.950000000000003</v>
      </c>
      <c r="M465" s="274">
        <f t="shared" ref="M465:M472" si="70">I465*F465</f>
        <v>27.450000000000003</v>
      </c>
      <c r="N465" s="140"/>
      <c r="O465" s="181">
        <f t="shared" si="61"/>
        <v>130</v>
      </c>
      <c r="P465" s="287">
        <v>52</v>
      </c>
    </row>
    <row r="466" spans="1:16" x14ac:dyDescent="0.25">
      <c r="A466" s="140" t="s">
        <v>145</v>
      </c>
      <c r="B466" s="269">
        <v>30</v>
      </c>
      <c r="C466" s="270">
        <v>0</v>
      </c>
      <c r="D466" s="276" t="s">
        <v>100</v>
      </c>
      <c r="E466" s="272" t="s">
        <v>34</v>
      </c>
      <c r="F466" s="273">
        <v>3</v>
      </c>
      <c r="G466" s="274">
        <f t="shared" si="41"/>
        <v>9.48</v>
      </c>
      <c r="H466" s="277">
        <f>H465</f>
        <v>9.98</v>
      </c>
      <c r="I466" s="274">
        <f t="shared" si="42"/>
        <v>10.98</v>
      </c>
      <c r="J466" s="306"/>
      <c r="K466" s="307">
        <f t="shared" si="68"/>
        <v>28.44</v>
      </c>
      <c r="L466" s="277">
        <f t="shared" si="69"/>
        <v>29.94</v>
      </c>
      <c r="M466" s="274">
        <f t="shared" si="70"/>
        <v>32.94</v>
      </c>
      <c r="N466" s="140"/>
      <c r="O466" s="181">
        <f t="shared" si="61"/>
        <v>156</v>
      </c>
      <c r="P466" s="287">
        <v>52</v>
      </c>
    </row>
    <row r="467" spans="1:16" x14ac:dyDescent="0.25">
      <c r="A467" s="140" t="s">
        <v>301</v>
      </c>
      <c r="B467" s="282">
        <v>15.299999999999999</v>
      </c>
      <c r="C467" s="279">
        <v>0</v>
      </c>
      <c r="D467" s="283" t="s">
        <v>101</v>
      </c>
      <c r="E467" s="284" t="s">
        <v>34</v>
      </c>
      <c r="F467" s="285">
        <v>3</v>
      </c>
      <c r="G467" s="274">
        <f t="shared" ref="G467:G472" si="71">ROUND(H467*0.95,2)</f>
        <v>10.57</v>
      </c>
      <c r="H467" s="275">
        <f>11.13*$B$395</f>
        <v>11.13</v>
      </c>
      <c r="I467" s="274">
        <f t="shared" ref="I467:I472" si="72">ROUND(H467*1.1,2)</f>
        <v>12.24</v>
      </c>
      <c r="J467" s="306"/>
      <c r="K467" s="307">
        <f t="shared" si="68"/>
        <v>31.71</v>
      </c>
      <c r="L467" s="277">
        <f t="shared" si="69"/>
        <v>33.39</v>
      </c>
      <c r="M467" s="274">
        <f t="shared" si="70"/>
        <v>36.72</v>
      </c>
      <c r="N467" s="140"/>
      <c r="O467" s="181">
        <f t="shared" si="61"/>
        <v>0</v>
      </c>
      <c r="P467" s="287">
        <v>0</v>
      </c>
    </row>
    <row r="468" spans="1:16" x14ac:dyDescent="0.25">
      <c r="A468" s="140" t="s">
        <v>251</v>
      </c>
      <c r="B468" s="269">
        <v>4.5199999999999996</v>
      </c>
      <c r="C468" s="270">
        <v>500</v>
      </c>
      <c r="D468" s="276" t="s">
        <v>102</v>
      </c>
      <c r="E468" s="272" t="s">
        <v>34</v>
      </c>
      <c r="F468" s="273">
        <f>F462</f>
        <v>1</v>
      </c>
      <c r="G468" s="274">
        <f t="shared" si="71"/>
        <v>9.48</v>
      </c>
      <c r="H468" s="273">
        <f>H462</f>
        <v>9.98</v>
      </c>
      <c r="I468" s="274">
        <f t="shared" si="72"/>
        <v>10.98</v>
      </c>
      <c r="J468" s="306"/>
      <c r="K468" s="307">
        <f t="shared" si="68"/>
        <v>9.48</v>
      </c>
      <c r="L468" s="277">
        <f t="shared" si="69"/>
        <v>9.98</v>
      </c>
      <c r="M468" s="274">
        <f t="shared" si="70"/>
        <v>10.98</v>
      </c>
      <c r="N468" s="140"/>
      <c r="O468" s="181">
        <f t="shared" si="61"/>
        <v>295</v>
      </c>
      <c r="P468" s="287">
        <v>295</v>
      </c>
    </row>
    <row r="469" spans="1:16" x14ac:dyDescent="0.25">
      <c r="A469" s="140" t="s">
        <v>252</v>
      </c>
      <c r="B469" s="269">
        <f>$B$468*F469</f>
        <v>6.7799999999999994</v>
      </c>
      <c r="C469" s="270">
        <v>0</v>
      </c>
      <c r="D469" s="276" t="s">
        <v>103</v>
      </c>
      <c r="E469" s="272" t="s">
        <v>34</v>
      </c>
      <c r="F469" s="273">
        <f>F463</f>
        <v>1.5</v>
      </c>
      <c r="G469" s="274">
        <f t="shared" si="71"/>
        <v>9.48</v>
      </c>
      <c r="H469" s="273">
        <f>H463</f>
        <v>9.98</v>
      </c>
      <c r="I469" s="274">
        <f t="shared" si="72"/>
        <v>10.98</v>
      </c>
      <c r="J469" s="306"/>
      <c r="K469" s="307">
        <f t="shared" si="68"/>
        <v>14.22</v>
      </c>
      <c r="L469" s="277">
        <f t="shared" si="69"/>
        <v>14.97</v>
      </c>
      <c r="M469" s="274">
        <f t="shared" si="70"/>
        <v>16.47</v>
      </c>
      <c r="N469" s="140"/>
      <c r="O469" s="181">
        <f t="shared" si="61"/>
        <v>442.5</v>
      </c>
      <c r="P469" s="287">
        <v>295</v>
      </c>
    </row>
    <row r="470" spans="1:16" x14ac:dyDescent="0.25">
      <c r="A470" s="140" t="s">
        <v>253</v>
      </c>
      <c r="B470" s="269">
        <f>$B$468*F470</f>
        <v>9.0399999999999991</v>
      </c>
      <c r="C470" s="270">
        <v>0</v>
      </c>
      <c r="D470" s="276" t="s">
        <v>104</v>
      </c>
      <c r="E470" s="272" t="s">
        <v>34</v>
      </c>
      <c r="F470" s="273">
        <f>F464</f>
        <v>2</v>
      </c>
      <c r="G470" s="274">
        <f t="shared" si="71"/>
        <v>9.48</v>
      </c>
      <c r="H470" s="273">
        <f>H464</f>
        <v>9.98</v>
      </c>
      <c r="I470" s="274">
        <f t="shared" si="72"/>
        <v>10.98</v>
      </c>
      <c r="J470" s="306"/>
      <c r="K470" s="307">
        <f t="shared" si="68"/>
        <v>18.96</v>
      </c>
      <c r="L470" s="277">
        <f t="shared" si="69"/>
        <v>19.96</v>
      </c>
      <c r="M470" s="274">
        <f t="shared" si="70"/>
        <v>21.96</v>
      </c>
      <c r="N470" s="140"/>
      <c r="O470" s="181">
        <f t="shared" si="61"/>
        <v>590</v>
      </c>
      <c r="P470" s="287">
        <v>295</v>
      </c>
    </row>
    <row r="471" spans="1:16" x14ac:dyDescent="0.25">
      <c r="A471" s="140" t="s">
        <v>254</v>
      </c>
      <c r="B471" s="269">
        <f>$B$468*F471</f>
        <v>11.299999999999999</v>
      </c>
      <c r="C471" s="270">
        <v>0</v>
      </c>
      <c r="D471" s="276" t="s">
        <v>105</v>
      </c>
      <c r="E471" s="272" t="s">
        <v>34</v>
      </c>
      <c r="F471" s="273">
        <f>F465</f>
        <v>2.5</v>
      </c>
      <c r="G471" s="274">
        <f t="shared" si="71"/>
        <v>9.48</v>
      </c>
      <c r="H471" s="273">
        <f>H465</f>
        <v>9.98</v>
      </c>
      <c r="I471" s="274">
        <f t="shared" si="72"/>
        <v>10.98</v>
      </c>
      <c r="J471" s="306"/>
      <c r="K471" s="307">
        <f t="shared" si="68"/>
        <v>23.700000000000003</v>
      </c>
      <c r="L471" s="277">
        <f t="shared" si="69"/>
        <v>24.950000000000003</v>
      </c>
      <c r="M471" s="274">
        <f t="shared" si="70"/>
        <v>27.450000000000003</v>
      </c>
      <c r="N471" s="140"/>
      <c r="O471" s="181">
        <f t="shared" si="61"/>
        <v>737.5</v>
      </c>
      <c r="P471" s="287">
        <v>295</v>
      </c>
    </row>
    <row r="472" spans="1:16" x14ac:dyDescent="0.25">
      <c r="A472" s="140" t="s">
        <v>255</v>
      </c>
      <c r="B472" s="269">
        <f>$B$468*F472</f>
        <v>13.559999999999999</v>
      </c>
      <c r="C472" s="270">
        <v>0</v>
      </c>
      <c r="D472" s="276" t="s">
        <v>106</v>
      </c>
      <c r="E472" s="272" t="s">
        <v>34</v>
      </c>
      <c r="F472" s="273">
        <f>F466</f>
        <v>3</v>
      </c>
      <c r="G472" s="274">
        <f t="shared" si="71"/>
        <v>9.48</v>
      </c>
      <c r="H472" s="273">
        <f>H466</f>
        <v>9.98</v>
      </c>
      <c r="I472" s="274">
        <f t="shared" si="72"/>
        <v>10.98</v>
      </c>
      <c r="J472" s="306"/>
      <c r="K472" s="307">
        <f t="shared" si="68"/>
        <v>28.44</v>
      </c>
      <c r="L472" s="277">
        <f t="shared" si="69"/>
        <v>29.94</v>
      </c>
      <c r="M472" s="274">
        <f t="shared" si="70"/>
        <v>32.94</v>
      </c>
      <c r="N472" s="140"/>
      <c r="O472" s="181">
        <f t="shared" si="61"/>
        <v>885</v>
      </c>
      <c r="P472" s="287">
        <v>295</v>
      </c>
    </row>
    <row r="473" spans="1:16" ht="15.75" thickBot="1" x14ac:dyDescent="0.3">
      <c r="A473" s="140" t="s">
        <v>256</v>
      </c>
      <c r="B473" s="282">
        <f>B474*F473</f>
        <v>0.89600000000000013</v>
      </c>
      <c r="C473" s="279">
        <v>0</v>
      </c>
      <c r="D473" s="283" t="s">
        <v>131</v>
      </c>
      <c r="E473" s="284" t="s">
        <v>34</v>
      </c>
      <c r="F473" s="273">
        <v>0.8</v>
      </c>
      <c r="G473" s="274">
        <f>ROUND(H473*0.95,2)</f>
        <v>6.86</v>
      </c>
      <c r="H473" s="273">
        <f>$H$474</f>
        <v>7.22</v>
      </c>
      <c r="I473" s="274">
        <f>ROUND(H473*1.1,2)</f>
        <v>7.94</v>
      </c>
      <c r="J473" s="310"/>
      <c r="K473" s="311">
        <f t="shared" ref="K473" si="73">G473*F473</f>
        <v>5.4880000000000004</v>
      </c>
      <c r="L473" s="312">
        <f t="shared" ref="L473" si="74">H473*F473</f>
        <v>5.7759999999999998</v>
      </c>
      <c r="M473" s="313">
        <f t="shared" ref="M473" si="75">I473*F473</f>
        <v>6.3520000000000003</v>
      </c>
      <c r="N473" s="140"/>
      <c r="O473" s="181"/>
      <c r="P473" s="287"/>
    </row>
    <row r="474" spans="1:16" ht="15.75" thickBot="1" x14ac:dyDescent="0.3">
      <c r="A474" s="140" t="s">
        <v>121</v>
      </c>
      <c r="B474" s="282">
        <v>1.1200000000000001</v>
      </c>
      <c r="C474" s="279">
        <v>0</v>
      </c>
      <c r="D474" s="283" t="s">
        <v>111</v>
      </c>
      <c r="E474" s="284" t="s">
        <v>34</v>
      </c>
      <c r="F474" s="273">
        <v>1</v>
      </c>
      <c r="G474" s="274">
        <f>ROUND(H474*0.95,2)</f>
        <v>6.86</v>
      </c>
      <c r="H474" s="281">
        <f>7.22*$B$395</f>
        <v>7.22</v>
      </c>
      <c r="I474" s="274">
        <f>ROUND(H474*1.1,2)</f>
        <v>7.94</v>
      </c>
      <c r="J474" s="310"/>
      <c r="K474" s="311">
        <f t="shared" si="68"/>
        <v>6.86</v>
      </c>
      <c r="L474" s="312">
        <f t="shared" si="69"/>
        <v>7.22</v>
      </c>
      <c r="M474" s="313">
        <f>I474*F474</f>
        <v>7.94</v>
      </c>
      <c r="N474" s="140"/>
      <c r="O474" s="181">
        <f t="shared" si="61"/>
        <v>75</v>
      </c>
      <c r="P474" s="287">
        <v>75</v>
      </c>
    </row>
    <row r="475" spans="1:16" ht="15.75" thickBot="1" x14ac:dyDescent="0.3">
      <c r="A475" s="140" t="s">
        <v>257</v>
      </c>
      <c r="B475" s="282">
        <f>B474*F475</f>
        <v>1.3440000000000001</v>
      </c>
      <c r="C475" s="279">
        <v>0</v>
      </c>
      <c r="D475" s="283" t="s">
        <v>132</v>
      </c>
      <c r="E475" s="284" t="s">
        <v>34</v>
      </c>
      <c r="F475" s="273">
        <v>1.2</v>
      </c>
      <c r="G475" s="274">
        <f t="shared" ref="G475:G485" si="76">ROUND(H475*0.95,2)</f>
        <v>6.86</v>
      </c>
      <c r="H475" s="273">
        <f t="shared" ref="H475:H485" si="77">$H$474</f>
        <v>7.22</v>
      </c>
      <c r="I475" s="274">
        <f t="shared" ref="I475:I485" si="78">ROUND(H475*1.1,2)</f>
        <v>7.94</v>
      </c>
      <c r="J475" s="310"/>
      <c r="K475" s="311">
        <f t="shared" ref="K475:K485" si="79">G475*F475</f>
        <v>8.2319999999999993</v>
      </c>
      <c r="L475" s="312">
        <f t="shared" ref="L475:L485" si="80">H475*F475</f>
        <v>8.6639999999999997</v>
      </c>
      <c r="M475" s="313">
        <f t="shared" ref="M475:M485" si="81">I475*F475</f>
        <v>9.5280000000000005</v>
      </c>
      <c r="N475" s="140"/>
      <c r="O475" s="140"/>
      <c r="P475" s="140"/>
    </row>
    <row r="476" spans="1:16" ht="15.75" thickBot="1" x14ac:dyDescent="0.3">
      <c r="A476" s="140" t="s">
        <v>267</v>
      </c>
      <c r="B476" s="282">
        <f>B475*F476</f>
        <v>1.7472000000000001</v>
      </c>
      <c r="C476" s="279">
        <v>0</v>
      </c>
      <c r="D476" s="283" t="s">
        <v>299</v>
      </c>
      <c r="E476" s="284" t="s">
        <v>34</v>
      </c>
      <c r="F476" s="273">
        <v>1.3</v>
      </c>
      <c r="G476" s="274">
        <f t="shared" ref="G476" si="82">ROUND(H476*0.95,2)</f>
        <v>6.86</v>
      </c>
      <c r="H476" s="273">
        <f t="shared" si="77"/>
        <v>7.22</v>
      </c>
      <c r="I476" s="274">
        <f t="shared" ref="I476" si="83">ROUND(H476*1.1,2)</f>
        <v>7.94</v>
      </c>
      <c r="J476" s="310"/>
      <c r="K476" s="311">
        <f t="shared" ref="K476" si="84">G476*F476</f>
        <v>8.918000000000001</v>
      </c>
      <c r="L476" s="312">
        <f t="shared" ref="L476" si="85">H476*F476</f>
        <v>9.3859999999999992</v>
      </c>
      <c r="M476" s="313">
        <f t="shared" ref="M476" si="86">I476*F476</f>
        <v>10.322000000000001</v>
      </c>
      <c r="N476" s="140"/>
      <c r="O476" s="140"/>
      <c r="P476" s="140"/>
    </row>
    <row r="477" spans="1:16" ht="15.75" thickBot="1" x14ac:dyDescent="0.3">
      <c r="A477" s="140" t="s">
        <v>258</v>
      </c>
      <c r="B477" s="282">
        <f t="shared" ref="B477:B485" si="87">$B$474*F477</f>
        <v>1.6800000000000002</v>
      </c>
      <c r="C477" s="279">
        <v>0</v>
      </c>
      <c r="D477" s="283" t="s">
        <v>133</v>
      </c>
      <c r="E477" s="284" t="s">
        <v>34</v>
      </c>
      <c r="F477" s="273">
        <v>1.5</v>
      </c>
      <c r="G477" s="274">
        <f t="shared" si="76"/>
        <v>6.86</v>
      </c>
      <c r="H477" s="273">
        <f t="shared" si="77"/>
        <v>7.22</v>
      </c>
      <c r="I477" s="274">
        <f t="shared" si="78"/>
        <v>7.94</v>
      </c>
      <c r="J477" s="310"/>
      <c r="K477" s="311">
        <f t="shared" si="79"/>
        <v>10.290000000000001</v>
      </c>
      <c r="L477" s="312">
        <f t="shared" si="80"/>
        <v>10.83</v>
      </c>
      <c r="M477" s="313">
        <f t="shared" si="81"/>
        <v>11.91</v>
      </c>
      <c r="N477" s="140"/>
      <c r="O477" s="140"/>
      <c r="P477" s="140"/>
    </row>
    <row r="478" spans="1:16" ht="15.75" thickBot="1" x14ac:dyDescent="0.3">
      <c r="A478" s="140" t="s">
        <v>259</v>
      </c>
      <c r="B478" s="282">
        <f t="shared" si="87"/>
        <v>1.9040000000000001</v>
      </c>
      <c r="C478" s="279">
        <v>0</v>
      </c>
      <c r="D478" s="283" t="s">
        <v>134</v>
      </c>
      <c r="E478" s="284" t="s">
        <v>34</v>
      </c>
      <c r="F478" s="273">
        <v>1.7</v>
      </c>
      <c r="G478" s="274">
        <f t="shared" si="76"/>
        <v>6.86</v>
      </c>
      <c r="H478" s="273">
        <f t="shared" si="77"/>
        <v>7.22</v>
      </c>
      <c r="I478" s="274">
        <f t="shared" si="78"/>
        <v>7.94</v>
      </c>
      <c r="J478" s="310"/>
      <c r="K478" s="311">
        <f t="shared" si="79"/>
        <v>11.662000000000001</v>
      </c>
      <c r="L478" s="312">
        <f t="shared" si="80"/>
        <v>12.273999999999999</v>
      </c>
      <c r="M478" s="313">
        <f t="shared" si="81"/>
        <v>13.498000000000001</v>
      </c>
      <c r="N478" s="140"/>
      <c r="O478" s="140"/>
      <c r="P478" s="140"/>
    </row>
    <row r="479" spans="1:16" ht="15.75" thickBot="1" x14ac:dyDescent="0.3">
      <c r="A479" s="140" t="s">
        <v>260</v>
      </c>
      <c r="B479" s="282">
        <f t="shared" si="87"/>
        <v>2.0160000000000005</v>
      </c>
      <c r="C479" s="279">
        <v>0</v>
      </c>
      <c r="D479" s="283" t="s">
        <v>135</v>
      </c>
      <c r="E479" s="284" t="s">
        <v>34</v>
      </c>
      <c r="F479" s="273">
        <v>1.8</v>
      </c>
      <c r="G479" s="274">
        <f t="shared" ref="G479" si="88">ROUND(H479*0.95,2)</f>
        <v>6.86</v>
      </c>
      <c r="H479" s="273">
        <f t="shared" si="77"/>
        <v>7.22</v>
      </c>
      <c r="I479" s="274">
        <f t="shared" ref="I479" si="89">ROUND(H479*1.1,2)</f>
        <v>7.94</v>
      </c>
      <c r="J479" s="310"/>
      <c r="K479" s="311">
        <f t="shared" ref="K479" si="90">G479*F479</f>
        <v>12.348000000000001</v>
      </c>
      <c r="L479" s="312">
        <f t="shared" ref="L479" si="91">H479*F479</f>
        <v>12.996</v>
      </c>
      <c r="M479" s="313">
        <f t="shared" ref="M479" si="92">I479*F479</f>
        <v>14.292000000000002</v>
      </c>
      <c r="N479" s="140"/>
      <c r="O479" s="140"/>
      <c r="P479" s="140"/>
    </row>
    <row r="480" spans="1:16" ht="15.75" thickBot="1" x14ac:dyDescent="0.3">
      <c r="A480" s="140" t="s">
        <v>261</v>
      </c>
      <c r="B480" s="282">
        <f t="shared" si="87"/>
        <v>2.2400000000000002</v>
      </c>
      <c r="C480" s="279">
        <v>0</v>
      </c>
      <c r="D480" s="283" t="s">
        <v>135</v>
      </c>
      <c r="E480" s="284" t="s">
        <v>34</v>
      </c>
      <c r="F480" s="273">
        <v>2</v>
      </c>
      <c r="G480" s="274">
        <f t="shared" si="76"/>
        <v>6.86</v>
      </c>
      <c r="H480" s="273">
        <f t="shared" si="77"/>
        <v>7.22</v>
      </c>
      <c r="I480" s="274">
        <f t="shared" si="78"/>
        <v>7.94</v>
      </c>
      <c r="J480" s="310"/>
      <c r="K480" s="311">
        <f t="shared" si="79"/>
        <v>13.72</v>
      </c>
      <c r="L480" s="312">
        <f t="shared" si="80"/>
        <v>14.44</v>
      </c>
      <c r="M480" s="313">
        <f t="shared" si="81"/>
        <v>15.88</v>
      </c>
      <c r="N480" s="140"/>
      <c r="O480" s="140"/>
      <c r="P480" s="140"/>
    </row>
    <row r="481" spans="1:16" ht="15.75" thickBot="1" x14ac:dyDescent="0.3">
      <c r="A481" s="140" t="s">
        <v>262</v>
      </c>
      <c r="B481" s="282">
        <f t="shared" si="87"/>
        <v>2.4640000000000004</v>
      </c>
      <c r="C481" s="279">
        <v>0</v>
      </c>
      <c r="D481" s="283" t="s">
        <v>137</v>
      </c>
      <c r="E481" s="284" t="s">
        <v>34</v>
      </c>
      <c r="F481" s="273">
        <v>2.2000000000000002</v>
      </c>
      <c r="G481" s="274">
        <f t="shared" si="76"/>
        <v>6.86</v>
      </c>
      <c r="H481" s="273">
        <f t="shared" si="77"/>
        <v>7.22</v>
      </c>
      <c r="I481" s="274">
        <f t="shared" si="78"/>
        <v>7.94</v>
      </c>
      <c r="J481" s="310"/>
      <c r="K481" s="311">
        <f t="shared" si="79"/>
        <v>15.092000000000002</v>
      </c>
      <c r="L481" s="312">
        <f t="shared" si="80"/>
        <v>15.884</v>
      </c>
      <c r="M481" s="313">
        <f t="shared" si="81"/>
        <v>17.468000000000004</v>
      </c>
      <c r="N481" s="140"/>
      <c r="O481" s="140"/>
      <c r="P481" s="140"/>
    </row>
    <row r="482" spans="1:16" ht="15.75" thickBot="1" x14ac:dyDescent="0.3">
      <c r="A482" s="140" t="s">
        <v>263</v>
      </c>
      <c r="B482" s="282">
        <f t="shared" si="87"/>
        <v>2.5760000000000001</v>
      </c>
      <c r="C482" s="279">
        <v>0</v>
      </c>
      <c r="D482" s="283" t="s">
        <v>137</v>
      </c>
      <c r="E482" s="284" t="s">
        <v>34</v>
      </c>
      <c r="F482" s="273">
        <v>2.2999999999999998</v>
      </c>
      <c r="G482" s="274">
        <f t="shared" ref="G482" si="93">ROUND(H482*0.95,2)</f>
        <v>6.86</v>
      </c>
      <c r="H482" s="273">
        <f t="shared" si="77"/>
        <v>7.22</v>
      </c>
      <c r="I482" s="274">
        <f t="shared" ref="I482" si="94">ROUND(H482*1.1,2)</f>
        <v>7.94</v>
      </c>
      <c r="J482" s="310"/>
      <c r="K482" s="311">
        <f t="shared" ref="K482" si="95">G482*F482</f>
        <v>15.777999999999999</v>
      </c>
      <c r="L482" s="312">
        <f t="shared" ref="L482" si="96">H482*F482</f>
        <v>16.605999999999998</v>
      </c>
      <c r="M482" s="313">
        <f t="shared" ref="M482" si="97">I482*F482</f>
        <v>18.262</v>
      </c>
      <c r="N482" s="140"/>
      <c r="O482" s="140"/>
      <c r="P482" s="140"/>
    </row>
    <row r="483" spans="1:16" ht="15.75" thickBot="1" x14ac:dyDescent="0.3">
      <c r="A483" s="140" t="s">
        <v>264</v>
      </c>
      <c r="B483" s="282">
        <f t="shared" si="87"/>
        <v>2.6880000000000002</v>
      </c>
      <c r="C483" s="279">
        <v>0</v>
      </c>
      <c r="D483" s="283" t="s">
        <v>136</v>
      </c>
      <c r="E483" s="284" t="s">
        <v>34</v>
      </c>
      <c r="F483" s="273">
        <v>2.4</v>
      </c>
      <c r="G483" s="274">
        <f t="shared" si="76"/>
        <v>6.86</v>
      </c>
      <c r="H483" s="273">
        <f t="shared" si="77"/>
        <v>7.22</v>
      </c>
      <c r="I483" s="274">
        <f t="shared" si="78"/>
        <v>7.94</v>
      </c>
      <c r="J483" s="310"/>
      <c r="K483" s="311">
        <f t="shared" si="79"/>
        <v>16.463999999999999</v>
      </c>
      <c r="L483" s="312">
        <f t="shared" si="80"/>
        <v>17.327999999999999</v>
      </c>
      <c r="M483" s="313">
        <f t="shared" si="81"/>
        <v>19.056000000000001</v>
      </c>
      <c r="N483" s="140"/>
      <c r="O483" s="140"/>
      <c r="P483" s="140"/>
    </row>
    <row r="484" spans="1:16" ht="15.75" thickBot="1" x14ac:dyDescent="0.3">
      <c r="A484" s="140" t="s">
        <v>265</v>
      </c>
      <c r="B484" s="282">
        <f t="shared" si="87"/>
        <v>2.8000000000000003</v>
      </c>
      <c r="C484" s="279">
        <v>0</v>
      </c>
      <c r="D484" s="283" t="s">
        <v>138</v>
      </c>
      <c r="E484" s="284" t="s">
        <v>34</v>
      </c>
      <c r="F484" s="273">
        <v>2.5</v>
      </c>
      <c r="G484" s="274">
        <f t="shared" si="76"/>
        <v>6.86</v>
      </c>
      <c r="H484" s="273">
        <f t="shared" si="77"/>
        <v>7.22</v>
      </c>
      <c r="I484" s="274">
        <f t="shared" si="78"/>
        <v>7.94</v>
      </c>
      <c r="J484" s="310"/>
      <c r="K484" s="311">
        <f t="shared" si="79"/>
        <v>17.150000000000002</v>
      </c>
      <c r="L484" s="312">
        <f t="shared" si="80"/>
        <v>18.05</v>
      </c>
      <c r="M484" s="313">
        <f t="shared" si="81"/>
        <v>19.850000000000001</v>
      </c>
      <c r="N484" s="140"/>
      <c r="O484" s="140"/>
      <c r="P484" s="140"/>
    </row>
    <row r="485" spans="1:16" ht="15.75" thickBot="1" x14ac:dyDescent="0.3">
      <c r="A485" s="140" t="s">
        <v>266</v>
      </c>
      <c r="B485" s="282">
        <f t="shared" si="87"/>
        <v>3.3600000000000003</v>
      </c>
      <c r="C485" s="279">
        <v>0</v>
      </c>
      <c r="D485" s="283" t="s">
        <v>139</v>
      </c>
      <c r="E485" s="284" t="s">
        <v>34</v>
      </c>
      <c r="F485" s="273">
        <v>3</v>
      </c>
      <c r="G485" s="274">
        <f t="shared" si="76"/>
        <v>6.86</v>
      </c>
      <c r="H485" s="273">
        <f t="shared" si="77"/>
        <v>7.22</v>
      </c>
      <c r="I485" s="274">
        <f t="shared" si="78"/>
        <v>7.94</v>
      </c>
      <c r="J485" s="310"/>
      <c r="K485" s="311">
        <f t="shared" si="79"/>
        <v>20.580000000000002</v>
      </c>
      <c r="L485" s="312">
        <f t="shared" si="80"/>
        <v>21.66</v>
      </c>
      <c r="M485" s="313">
        <f t="shared" si="81"/>
        <v>23.82</v>
      </c>
      <c r="N485" s="140"/>
      <c r="O485" s="140"/>
      <c r="P485" s="140"/>
    </row>
    <row r="486" spans="1:16" ht="15.75" thickBot="1" x14ac:dyDescent="0.3">
      <c r="A486" s="140" t="s">
        <v>300</v>
      </c>
      <c r="B486" s="282">
        <v>0.2</v>
      </c>
      <c r="C486" s="279">
        <v>0</v>
      </c>
      <c r="D486" s="140" t="s">
        <v>300</v>
      </c>
      <c r="E486" s="284" t="s">
        <v>82</v>
      </c>
      <c r="F486" s="273">
        <v>1</v>
      </c>
      <c r="G486" s="274">
        <f t="shared" ref="G486" si="98">ROUND(H486*0.95,2)</f>
        <v>0.63</v>
      </c>
      <c r="H486" s="273">
        <f>(0.66)*$B$395</f>
        <v>0.66</v>
      </c>
      <c r="I486" s="274">
        <f t="shared" ref="I486" si="99">ROUND(H486*1.1,2)</f>
        <v>0.73</v>
      </c>
      <c r="J486" s="310"/>
      <c r="K486" s="311">
        <f t="shared" ref="K486" si="100">G486*F486</f>
        <v>0.63</v>
      </c>
      <c r="L486" s="312">
        <f t="shared" ref="L486" si="101">H486*F486</f>
        <v>0.66</v>
      </c>
      <c r="M486" s="313">
        <f t="shared" ref="M486" si="102">I486*F486</f>
        <v>0.73</v>
      </c>
      <c r="N486" s="140"/>
      <c r="O486" s="140"/>
      <c r="P486" s="140"/>
    </row>
    <row r="492" spans="1:16" x14ac:dyDescent="0.25">
      <c r="H492" s="287"/>
    </row>
  </sheetData>
  <mergeCells count="39">
    <mergeCell ref="B238:B247"/>
    <mergeCell ref="B249:B258"/>
    <mergeCell ref="B260:B269"/>
    <mergeCell ref="B271:B280"/>
    <mergeCell ref="B282:B291"/>
    <mergeCell ref="B183:B192"/>
    <mergeCell ref="B194:B203"/>
    <mergeCell ref="B205:B214"/>
    <mergeCell ref="B216:B225"/>
    <mergeCell ref="B227:B236"/>
    <mergeCell ref="E387:G387"/>
    <mergeCell ref="B18:B27"/>
    <mergeCell ref="B29:B38"/>
    <mergeCell ref="B40:B49"/>
    <mergeCell ref="B51:B60"/>
    <mergeCell ref="B62:B71"/>
    <mergeCell ref="B73:B82"/>
    <mergeCell ref="B84:B93"/>
    <mergeCell ref="B95:B104"/>
    <mergeCell ref="B106:B115"/>
    <mergeCell ref="B117:B126"/>
    <mergeCell ref="B128:B137"/>
    <mergeCell ref="B139:B148"/>
    <mergeCell ref="B150:B159"/>
    <mergeCell ref="B161:B170"/>
    <mergeCell ref="B172:B181"/>
    <mergeCell ref="E388:G388"/>
    <mergeCell ref="E389:G389"/>
    <mergeCell ref="O396:O397"/>
    <mergeCell ref="K396:M396"/>
    <mergeCell ref="D396:D397"/>
    <mergeCell ref="E396:E397"/>
    <mergeCell ref="F396:F397"/>
    <mergeCell ref="G396:I396"/>
    <mergeCell ref="O1:U1"/>
    <mergeCell ref="O11:S11"/>
    <mergeCell ref="O13:S13"/>
    <mergeCell ref="O12:S12"/>
    <mergeCell ref="O14:S14"/>
  </mergeCells>
  <dataValidations count="2">
    <dataValidation type="list" allowBlank="1" showInputMessage="1" showErrorMessage="1" sqref="H17 H281 H270 H259 H248 H237 H226 H215 H204 H193 H182 H171 H160 H149 H138 H116 H105 H94 H83 H72 H61 H50 H39 H28 H127" xr:uid="{45F57B3C-4DE7-412F-B43E-FEA7AFC8FE0C}">
      <formula1>$AD$17:$AD$27</formula1>
    </dataValidation>
    <dataValidation type="list" allowBlank="1" showInputMessage="1" showErrorMessage="1" sqref="A295:A386 O3:O5 O7:O10" xr:uid="{A93D2385-1380-4C7D-A074-7BB433792129}">
      <formula1>$A$398:$A$485</formula1>
    </dataValidation>
  </dataValidations>
  <pageMargins left="0.511811024" right="0.511811024" top="0.78740157499999996" bottom="0.78740157499999996" header="0.31496062000000002" footer="0.31496062000000002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A441B9-C03A-4166-83BF-312706E706AC}">
          <x14:formula1>
            <xm:f>'Tabela Dados'!$P$2:$P$3</xm:f>
          </x14:formula1>
          <xm:sqref>R3:R10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400C-9902-46F8-8A67-92E38B2195D0}">
  <dimension ref="A1:F89"/>
  <sheetViews>
    <sheetView workbookViewId="0">
      <pane ySplit="1" topLeftCell="A8" activePane="bottomLeft" state="frozen"/>
      <selection pane="bottomLeft" activeCell="D6" sqref="D6"/>
    </sheetView>
  </sheetViews>
  <sheetFormatPr defaultRowHeight="15" x14ac:dyDescent="0.25"/>
  <cols>
    <col min="1" max="1" width="32.5703125" bestFit="1" customWidth="1"/>
    <col min="2" max="2" width="6" bestFit="1" customWidth="1"/>
    <col min="3" max="3" width="7.28515625" bestFit="1" customWidth="1"/>
    <col min="4" max="4" width="14.28515625" style="36" customWidth="1"/>
    <col min="5" max="5" width="12" bestFit="1" customWidth="1"/>
    <col min="6" max="6" width="14.28515625" bestFit="1" customWidth="1"/>
  </cols>
  <sheetData>
    <row r="1" spans="1:6" s="22" customFormat="1" ht="30" x14ac:dyDescent="0.25">
      <c r="A1" s="24" t="s">
        <v>140</v>
      </c>
      <c r="B1" s="43" t="s">
        <v>29</v>
      </c>
      <c r="C1" s="43" t="s">
        <v>30</v>
      </c>
      <c r="D1" s="39" t="s">
        <v>142</v>
      </c>
      <c r="E1" s="24" t="s">
        <v>141</v>
      </c>
      <c r="F1" s="24" t="s">
        <v>23</v>
      </c>
    </row>
    <row r="2" spans="1:6" x14ac:dyDescent="0.25">
      <c r="A2" s="38" t="s">
        <v>200</v>
      </c>
      <c r="B2" s="40" t="s">
        <v>34</v>
      </c>
      <c r="C2" s="41">
        <v>0.5</v>
      </c>
      <c r="D2" s="42">
        <v>75</v>
      </c>
      <c r="E2" s="38"/>
      <c r="F2" s="44">
        <f>E2*D2*C2</f>
        <v>0</v>
      </c>
    </row>
    <row r="3" spans="1:6" x14ac:dyDescent="0.25">
      <c r="A3" s="38" t="s">
        <v>201</v>
      </c>
      <c r="B3" s="40" t="s">
        <v>34</v>
      </c>
      <c r="C3" s="41">
        <v>0.75</v>
      </c>
      <c r="D3" s="42">
        <v>75</v>
      </c>
      <c r="E3" s="38"/>
      <c r="F3" s="44">
        <f t="shared" ref="F3:F68" si="0">E3*D3*C3</f>
        <v>0</v>
      </c>
    </row>
    <row r="4" spans="1:6" x14ac:dyDescent="0.25">
      <c r="A4" s="38" t="s">
        <v>129</v>
      </c>
      <c r="B4" s="40" t="s">
        <v>34</v>
      </c>
      <c r="C4" s="41">
        <v>1</v>
      </c>
      <c r="D4" s="42">
        <v>75</v>
      </c>
      <c r="E4" s="38"/>
      <c r="F4" s="44">
        <f t="shared" si="0"/>
        <v>0</v>
      </c>
    </row>
    <row r="5" spans="1:6" x14ac:dyDescent="0.25">
      <c r="A5" s="38" t="s">
        <v>202</v>
      </c>
      <c r="B5" s="40" t="s">
        <v>34</v>
      </c>
      <c r="C5" s="41">
        <v>1.25</v>
      </c>
      <c r="D5" s="42">
        <v>75</v>
      </c>
      <c r="E5" s="38"/>
      <c r="F5" s="44">
        <f t="shared" si="0"/>
        <v>0</v>
      </c>
    </row>
    <row r="6" spans="1:6" x14ac:dyDescent="0.25">
      <c r="A6" s="38" t="s">
        <v>203</v>
      </c>
      <c r="B6" s="40" t="s">
        <v>34</v>
      </c>
      <c r="C6" s="41">
        <v>1.5</v>
      </c>
      <c r="D6" s="42">
        <v>75</v>
      </c>
      <c r="E6" s="38"/>
      <c r="F6" s="44">
        <f t="shared" si="0"/>
        <v>0</v>
      </c>
    </row>
    <row r="7" spans="1:6" x14ac:dyDescent="0.25">
      <c r="A7" s="38" t="s">
        <v>204</v>
      </c>
      <c r="B7" s="40" t="s">
        <v>34</v>
      </c>
      <c r="C7" s="41">
        <v>1.75</v>
      </c>
      <c r="D7" s="42">
        <v>75</v>
      </c>
      <c r="E7" s="38"/>
      <c r="F7" s="44">
        <f t="shared" si="0"/>
        <v>0</v>
      </c>
    </row>
    <row r="8" spans="1:6" x14ac:dyDescent="0.25">
      <c r="A8" s="38" t="s">
        <v>205</v>
      </c>
      <c r="B8" s="40" t="s">
        <v>34</v>
      </c>
      <c r="C8" s="41">
        <v>2</v>
      </c>
      <c r="D8" s="42">
        <v>75</v>
      </c>
      <c r="E8" s="38"/>
      <c r="F8" s="44">
        <f t="shared" si="0"/>
        <v>0</v>
      </c>
    </row>
    <row r="9" spans="1:6" x14ac:dyDescent="0.25">
      <c r="A9" s="38" t="s">
        <v>206</v>
      </c>
      <c r="B9" s="40" t="s">
        <v>34</v>
      </c>
      <c r="C9" s="41">
        <v>2.25</v>
      </c>
      <c r="D9" s="42">
        <v>75</v>
      </c>
      <c r="E9" s="38"/>
      <c r="F9" s="44">
        <f t="shared" si="0"/>
        <v>0</v>
      </c>
    </row>
    <row r="10" spans="1:6" x14ac:dyDescent="0.25">
      <c r="A10" s="38" t="s">
        <v>207</v>
      </c>
      <c r="B10" s="40" t="s">
        <v>34</v>
      </c>
      <c r="C10" s="41">
        <v>2.5</v>
      </c>
      <c r="D10" s="42">
        <v>75</v>
      </c>
      <c r="E10" s="38"/>
      <c r="F10" s="44">
        <f t="shared" si="0"/>
        <v>0</v>
      </c>
    </row>
    <row r="11" spans="1:6" x14ac:dyDescent="0.25">
      <c r="A11" s="38" t="s">
        <v>208</v>
      </c>
      <c r="B11" s="40" t="s">
        <v>34</v>
      </c>
      <c r="C11" s="41">
        <v>2.75</v>
      </c>
      <c r="D11" s="42">
        <v>75</v>
      </c>
      <c r="E11" s="38"/>
      <c r="F11" s="44">
        <f t="shared" si="0"/>
        <v>0</v>
      </c>
    </row>
    <row r="12" spans="1:6" x14ac:dyDescent="0.25">
      <c r="A12" s="38" t="s">
        <v>209</v>
      </c>
      <c r="B12" s="40" t="s">
        <v>34</v>
      </c>
      <c r="C12" s="41">
        <v>3</v>
      </c>
      <c r="D12" s="42">
        <v>75</v>
      </c>
      <c r="E12" s="38"/>
      <c r="F12" s="44">
        <f t="shared" si="0"/>
        <v>0</v>
      </c>
    </row>
    <row r="13" spans="1:6" x14ac:dyDescent="0.25">
      <c r="A13" s="38" t="s">
        <v>210</v>
      </c>
      <c r="B13" s="40" t="s">
        <v>34</v>
      </c>
      <c r="C13" s="41">
        <v>3.25</v>
      </c>
      <c r="D13" s="42">
        <v>75</v>
      </c>
      <c r="E13" s="38"/>
      <c r="F13" s="44">
        <f t="shared" si="0"/>
        <v>0</v>
      </c>
    </row>
    <row r="14" spans="1:6" x14ac:dyDescent="0.25">
      <c r="A14" s="38" t="s">
        <v>211</v>
      </c>
      <c r="B14" s="40" t="s">
        <v>34</v>
      </c>
      <c r="C14" s="41">
        <v>3.5</v>
      </c>
      <c r="D14" s="42">
        <v>75</v>
      </c>
      <c r="E14" s="38"/>
      <c r="F14" s="44">
        <f t="shared" si="0"/>
        <v>0</v>
      </c>
    </row>
    <row r="15" spans="1:6" x14ac:dyDescent="0.25">
      <c r="A15" s="38" t="s">
        <v>212</v>
      </c>
      <c r="B15" s="40" t="s">
        <v>34</v>
      </c>
      <c r="C15" s="41">
        <v>3.75</v>
      </c>
      <c r="D15" s="42">
        <v>75</v>
      </c>
      <c r="E15" s="38"/>
      <c r="F15" s="44">
        <f t="shared" si="0"/>
        <v>0</v>
      </c>
    </row>
    <row r="16" spans="1:6" x14ac:dyDescent="0.25">
      <c r="A16" s="38" t="s">
        <v>146</v>
      </c>
      <c r="B16" s="40" t="s">
        <v>34</v>
      </c>
      <c r="C16" s="41">
        <v>4</v>
      </c>
      <c r="D16" s="42">
        <v>75</v>
      </c>
      <c r="E16" s="38"/>
      <c r="F16" s="44">
        <f t="shared" si="0"/>
        <v>0</v>
      </c>
    </row>
    <row r="17" spans="1:6" x14ac:dyDescent="0.25">
      <c r="A17" s="38" t="s">
        <v>213</v>
      </c>
      <c r="B17" s="40" t="s">
        <v>34</v>
      </c>
      <c r="C17" s="41">
        <v>4.25</v>
      </c>
      <c r="D17" s="42">
        <v>75</v>
      </c>
      <c r="E17" s="38"/>
      <c r="F17" s="44">
        <f t="shared" si="0"/>
        <v>0</v>
      </c>
    </row>
    <row r="18" spans="1:6" x14ac:dyDescent="0.25">
      <c r="A18" s="38" t="s">
        <v>214</v>
      </c>
      <c r="B18" s="40" t="s">
        <v>34</v>
      </c>
      <c r="C18" s="41">
        <v>4.5</v>
      </c>
      <c r="D18" s="42">
        <v>75</v>
      </c>
      <c r="E18" s="38"/>
      <c r="F18" s="44">
        <f t="shared" si="0"/>
        <v>0</v>
      </c>
    </row>
    <row r="19" spans="1:6" x14ac:dyDescent="0.25">
      <c r="A19" s="38" t="s">
        <v>215</v>
      </c>
      <c r="B19" s="40" t="s">
        <v>34</v>
      </c>
      <c r="C19" s="41">
        <v>4.75</v>
      </c>
      <c r="D19" s="42">
        <v>75</v>
      </c>
      <c r="E19" s="38"/>
      <c r="F19" s="44">
        <f t="shared" si="0"/>
        <v>0</v>
      </c>
    </row>
    <row r="20" spans="1:6" x14ac:dyDescent="0.25">
      <c r="A20" s="38" t="s">
        <v>216</v>
      </c>
      <c r="B20" s="40" t="s">
        <v>34</v>
      </c>
      <c r="C20" s="41">
        <v>5</v>
      </c>
      <c r="D20" s="42">
        <v>75</v>
      </c>
      <c r="E20" s="38"/>
      <c r="F20" s="44">
        <f t="shared" si="0"/>
        <v>0</v>
      </c>
    </row>
    <row r="21" spans="1:6" x14ac:dyDescent="0.25">
      <c r="A21" s="38" t="s">
        <v>217</v>
      </c>
      <c r="B21" s="40" t="s">
        <v>34</v>
      </c>
      <c r="C21" s="41">
        <v>5.25</v>
      </c>
      <c r="D21" s="42">
        <v>75</v>
      </c>
      <c r="E21" s="38"/>
      <c r="F21" s="44">
        <f t="shared" si="0"/>
        <v>0</v>
      </c>
    </row>
    <row r="22" spans="1:6" x14ac:dyDescent="0.25">
      <c r="A22" s="38" t="s">
        <v>218</v>
      </c>
      <c r="B22" s="40" t="s">
        <v>34</v>
      </c>
      <c r="C22" s="41">
        <v>5.5</v>
      </c>
      <c r="D22" s="42">
        <v>75</v>
      </c>
      <c r="E22" s="38"/>
      <c r="F22" s="44">
        <f t="shared" si="0"/>
        <v>0</v>
      </c>
    </row>
    <row r="23" spans="1:6" x14ac:dyDescent="0.25">
      <c r="A23" s="38" t="s">
        <v>219</v>
      </c>
      <c r="B23" s="40" t="s">
        <v>34</v>
      </c>
      <c r="C23" s="41">
        <v>5.75</v>
      </c>
      <c r="D23" s="42">
        <v>75</v>
      </c>
      <c r="E23" s="38"/>
      <c r="F23" s="44">
        <f t="shared" si="0"/>
        <v>0</v>
      </c>
    </row>
    <row r="24" spans="1:6" x14ac:dyDescent="0.25">
      <c r="A24" s="38" t="s">
        <v>147</v>
      </c>
      <c r="B24" s="40" t="s">
        <v>34</v>
      </c>
      <c r="C24" s="41">
        <v>6</v>
      </c>
      <c r="D24" s="42">
        <v>75</v>
      </c>
      <c r="E24" s="38"/>
      <c r="F24" s="44">
        <f t="shared" si="0"/>
        <v>0</v>
      </c>
    </row>
    <row r="25" spans="1:6" x14ac:dyDescent="0.25">
      <c r="A25" s="38" t="s">
        <v>220</v>
      </c>
      <c r="B25" s="40" t="s">
        <v>34</v>
      </c>
      <c r="C25" s="41">
        <v>0.25</v>
      </c>
      <c r="D25" s="42">
        <v>340</v>
      </c>
      <c r="E25" s="38"/>
      <c r="F25" s="44">
        <f t="shared" si="0"/>
        <v>0</v>
      </c>
    </row>
    <row r="26" spans="1:6" x14ac:dyDescent="0.25">
      <c r="A26" s="38" t="s">
        <v>221</v>
      </c>
      <c r="B26" s="40" t="s">
        <v>34</v>
      </c>
      <c r="C26" s="41">
        <v>0.5</v>
      </c>
      <c r="D26" s="42">
        <v>340</v>
      </c>
      <c r="E26" s="38"/>
      <c r="F26" s="44">
        <f t="shared" si="0"/>
        <v>0</v>
      </c>
    </row>
    <row r="27" spans="1:6" x14ac:dyDescent="0.25">
      <c r="A27" s="38" t="s">
        <v>222</v>
      </c>
      <c r="B27" s="40" t="s">
        <v>34</v>
      </c>
      <c r="C27" s="41">
        <v>0.5</v>
      </c>
      <c r="D27" s="42">
        <v>340</v>
      </c>
      <c r="E27" s="38"/>
      <c r="F27" s="44">
        <f t="shared" si="0"/>
        <v>0</v>
      </c>
    </row>
    <row r="28" spans="1:6" x14ac:dyDescent="0.25">
      <c r="A28" s="38" t="s">
        <v>114</v>
      </c>
      <c r="B28" s="40" t="s">
        <v>34</v>
      </c>
      <c r="C28" s="41">
        <v>1</v>
      </c>
      <c r="D28" s="42">
        <v>340</v>
      </c>
      <c r="E28" s="38"/>
      <c r="F28" s="44">
        <f t="shared" si="0"/>
        <v>0</v>
      </c>
    </row>
    <row r="29" spans="1:6" x14ac:dyDescent="0.25">
      <c r="A29" s="38" t="s">
        <v>223</v>
      </c>
      <c r="B29" s="40" t="s">
        <v>34</v>
      </c>
      <c r="C29" s="41">
        <v>1.5</v>
      </c>
      <c r="D29" s="42">
        <v>340</v>
      </c>
      <c r="E29" s="38"/>
      <c r="F29" s="44">
        <f t="shared" si="0"/>
        <v>0</v>
      </c>
    </row>
    <row r="30" spans="1:6" x14ac:dyDescent="0.25">
      <c r="A30" s="38" t="s">
        <v>224</v>
      </c>
      <c r="B30" s="40" t="s">
        <v>34</v>
      </c>
      <c r="C30" s="41">
        <v>2</v>
      </c>
      <c r="D30" s="42">
        <v>340</v>
      </c>
      <c r="E30" s="38"/>
      <c r="F30" s="44">
        <f t="shared" si="0"/>
        <v>0</v>
      </c>
    </row>
    <row r="31" spans="1:6" x14ac:dyDescent="0.25">
      <c r="A31" s="38" t="s">
        <v>225</v>
      </c>
      <c r="B31" s="40" t="s">
        <v>34</v>
      </c>
      <c r="C31" s="41">
        <v>2.5</v>
      </c>
      <c r="D31" s="42">
        <v>340</v>
      </c>
      <c r="E31" s="38"/>
      <c r="F31" s="44">
        <f t="shared" si="0"/>
        <v>0</v>
      </c>
    </row>
    <row r="32" spans="1:6" x14ac:dyDescent="0.25">
      <c r="A32" s="38" t="s">
        <v>226</v>
      </c>
      <c r="B32" s="40" t="s">
        <v>34</v>
      </c>
      <c r="C32" s="41">
        <v>3</v>
      </c>
      <c r="D32" s="42">
        <v>340</v>
      </c>
      <c r="E32" s="38"/>
      <c r="F32" s="44">
        <f t="shared" si="0"/>
        <v>0</v>
      </c>
    </row>
    <row r="33" spans="1:6" x14ac:dyDescent="0.25">
      <c r="A33" s="38" t="s">
        <v>227</v>
      </c>
      <c r="B33" s="40" t="s">
        <v>34</v>
      </c>
      <c r="C33" s="41">
        <v>0.8</v>
      </c>
      <c r="D33" s="42">
        <v>340</v>
      </c>
      <c r="E33" s="38"/>
      <c r="F33" s="44">
        <f t="shared" si="0"/>
        <v>0</v>
      </c>
    </row>
    <row r="34" spans="1:6" x14ac:dyDescent="0.25">
      <c r="A34" s="38" t="s">
        <v>228</v>
      </c>
      <c r="B34" s="40" t="s">
        <v>34</v>
      </c>
      <c r="C34" s="41">
        <v>1</v>
      </c>
      <c r="D34" s="42">
        <v>340</v>
      </c>
      <c r="E34" s="38"/>
      <c r="F34" s="44">
        <f t="shared" si="0"/>
        <v>0</v>
      </c>
    </row>
    <row r="35" spans="1:6" x14ac:dyDescent="0.25">
      <c r="A35" s="38" t="s">
        <v>229</v>
      </c>
      <c r="B35" s="40" t="s">
        <v>34</v>
      </c>
      <c r="C35" s="41">
        <v>1.2</v>
      </c>
      <c r="D35" s="42">
        <v>340</v>
      </c>
      <c r="E35" s="38"/>
      <c r="F35" s="44">
        <f t="shared" si="0"/>
        <v>0</v>
      </c>
    </row>
    <row r="36" spans="1:6" x14ac:dyDescent="0.25">
      <c r="A36" s="38" t="s">
        <v>230</v>
      </c>
      <c r="B36" s="40" t="s">
        <v>34</v>
      </c>
      <c r="C36" s="41">
        <v>1.7</v>
      </c>
      <c r="D36" s="42">
        <v>340</v>
      </c>
      <c r="E36" s="38"/>
      <c r="F36" s="44">
        <f t="shared" si="0"/>
        <v>0</v>
      </c>
    </row>
    <row r="37" spans="1:6" x14ac:dyDescent="0.25">
      <c r="A37" s="38" t="s">
        <v>231</v>
      </c>
      <c r="B37" s="40" t="s">
        <v>34</v>
      </c>
      <c r="C37" s="41">
        <v>2.2000000000000002</v>
      </c>
      <c r="D37" s="42">
        <v>340</v>
      </c>
      <c r="E37" s="38"/>
      <c r="F37" s="44">
        <f t="shared" si="0"/>
        <v>0</v>
      </c>
    </row>
    <row r="38" spans="1:6" x14ac:dyDescent="0.25">
      <c r="A38" s="38" t="s">
        <v>232</v>
      </c>
      <c r="B38" s="40" t="s">
        <v>34</v>
      </c>
      <c r="C38" s="41">
        <v>2.4</v>
      </c>
      <c r="D38" s="42">
        <v>340</v>
      </c>
      <c r="E38" s="38"/>
      <c r="F38" s="44">
        <f t="shared" si="0"/>
        <v>0</v>
      </c>
    </row>
    <row r="39" spans="1:6" x14ac:dyDescent="0.25">
      <c r="A39" s="38" t="s">
        <v>233</v>
      </c>
      <c r="B39" s="40" t="s">
        <v>34</v>
      </c>
      <c r="C39" s="41">
        <v>2.5</v>
      </c>
      <c r="D39" s="42">
        <v>340</v>
      </c>
      <c r="E39" s="38"/>
      <c r="F39" s="44">
        <f t="shared" si="0"/>
        <v>0</v>
      </c>
    </row>
    <row r="40" spans="1:6" x14ac:dyDescent="0.25">
      <c r="A40" s="38" t="s">
        <v>234</v>
      </c>
      <c r="B40" s="40" t="s">
        <v>34</v>
      </c>
      <c r="C40" s="41">
        <v>0.8</v>
      </c>
      <c r="D40" s="42">
        <v>340</v>
      </c>
      <c r="E40" s="38"/>
      <c r="F40" s="44">
        <f t="shared" si="0"/>
        <v>0</v>
      </c>
    </row>
    <row r="41" spans="1:6" x14ac:dyDescent="0.25">
      <c r="A41" s="38" t="s">
        <v>235</v>
      </c>
      <c r="B41" s="40" t="s">
        <v>34</v>
      </c>
      <c r="C41" s="41">
        <v>1</v>
      </c>
      <c r="D41" s="42">
        <v>340</v>
      </c>
      <c r="E41" s="38"/>
      <c r="F41" s="44">
        <f t="shared" si="0"/>
        <v>0</v>
      </c>
    </row>
    <row r="42" spans="1:6" x14ac:dyDescent="0.25">
      <c r="A42" s="38" t="s">
        <v>236</v>
      </c>
      <c r="B42" s="40" t="s">
        <v>34</v>
      </c>
      <c r="C42" s="41">
        <v>1.2</v>
      </c>
      <c r="D42" s="42">
        <v>340</v>
      </c>
      <c r="E42" s="38"/>
      <c r="F42" s="44">
        <f t="shared" si="0"/>
        <v>0</v>
      </c>
    </row>
    <row r="43" spans="1:6" x14ac:dyDescent="0.25">
      <c r="A43" s="38" t="s">
        <v>237</v>
      </c>
      <c r="B43" s="40" t="s">
        <v>34</v>
      </c>
      <c r="C43" s="41">
        <v>1.7</v>
      </c>
      <c r="D43" s="42">
        <v>340</v>
      </c>
      <c r="E43" s="38"/>
      <c r="F43" s="44">
        <f t="shared" si="0"/>
        <v>0</v>
      </c>
    </row>
    <row r="44" spans="1:6" x14ac:dyDescent="0.25">
      <c r="A44" s="38" t="s">
        <v>238</v>
      </c>
      <c r="B44" s="40" t="s">
        <v>34</v>
      </c>
      <c r="C44" s="41">
        <v>2.2000000000000002</v>
      </c>
      <c r="D44" s="42">
        <v>340</v>
      </c>
      <c r="E44" s="38"/>
      <c r="F44" s="44">
        <f t="shared" si="0"/>
        <v>0</v>
      </c>
    </row>
    <row r="45" spans="1:6" x14ac:dyDescent="0.25">
      <c r="A45" s="38" t="s">
        <v>239</v>
      </c>
      <c r="B45" s="40" t="s">
        <v>34</v>
      </c>
      <c r="C45" s="41">
        <v>2.4</v>
      </c>
      <c r="D45" s="42">
        <v>340</v>
      </c>
      <c r="E45" s="38"/>
      <c r="F45" s="44">
        <f t="shared" si="0"/>
        <v>0</v>
      </c>
    </row>
    <row r="46" spans="1:6" x14ac:dyDescent="0.25">
      <c r="A46" s="38" t="s">
        <v>240</v>
      </c>
      <c r="B46" s="40" t="s">
        <v>34</v>
      </c>
      <c r="C46" s="41">
        <v>2.5</v>
      </c>
      <c r="D46" s="42">
        <v>340</v>
      </c>
      <c r="E46" s="38"/>
      <c r="F46" s="44">
        <f t="shared" si="0"/>
        <v>0</v>
      </c>
    </row>
    <row r="47" spans="1:6" x14ac:dyDescent="0.25">
      <c r="A47" s="38" t="s">
        <v>241</v>
      </c>
      <c r="B47" s="40" t="s">
        <v>34</v>
      </c>
      <c r="C47" s="41">
        <v>2.3199999999999998</v>
      </c>
      <c r="D47" s="42">
        <v>340</v>
      </c>
      <c r="E47" s="38"/>
      <c r="F47" s="44">
        <f t="shared" si="0"/>
        <v>0</v>
      </c>
    </row>
    <row r="48" spans="1:6" x14ac:dyDescent="0.25">
      <c r="A48" s="38" t="s">
        <v>242</v>
      </c>
      <c r="B48" s="40" t="s">
        <v>34</v>
      </c>
      <c r="C48" s="41">
        <v>2.6</v>
      </c>
      <c r="D48" s="42">
        <v>340</v>
      </c>
      <c r="E48" s="38"/>
      <c r="F48" s="44">
        <f t="shared" si="0"/>
        <v>0</v>
      </c>
    </row>
    <row r="49" spans="1:6" x14ac:dyDescent="0.25">
      <c r="A49" s="38" t="s">
        <v>243</v>
      </c>
      <c r="B49" s="40" t="s">
        <v>82</v>
      </c>
      <c r="C49" s="41">
        <v>2.95</v>
      </c>
      <c r="D49" s="42">
        <f>D48</f>
        <v>340</v>
      </c>
      <c r="E49" s="38"/>
      <c r="F49" s="44">
        <f t="shared" si="0"/>
        <v>0</v>
      </c>
    </row>
    <row r="50" spans="1:6" x14ac:dyDescent="0.25">
      <c r="A50" s="38" t="s">
        <v>244</v>
      </c>
      <c r="B50" s="40" t="s">
        <v>82</v>
      </c>
      <c r="C50" s="41">
        <v>3.08</v>
      </c>
      <c r="D50" s="42">
        <f>D49</f>
        <v>340</v>
      </c>
      <c r="E50" s="38"/>
      <c r="F50" s="44">
        <f t="shared" si="0"/>
        <v>0</v>
      </c>
    </row>
    <row r="51" spans="1:6" x14ac:dyDescent="0.25">
      <c r="A51" s="38" t="s">
        <v>115</v>
      </c>
      <c r="B51" s="40" t="s">
        <v>82</v>
      </c>
      <c r="C51" s="41">
        <v>1</v>
      </c>
      <c r="D51" s="42">
        <v>57</v>
      </c>
      <c r="E51" s="38"/>
      <c r="F51" s="44">
        <f t="shared" si="0"/>
        <v>0</v>
      </c>
    </row>
    <row r="52" spans="1:6" x14ac:dyDescent="0.25">
      <c r="A52" s="38" t="s">
        <v>117</v>
      </c>
      <c r="B52" s="40" t="s">
        <v>82</v>
      </c>
      <c r="C52" s="41">
        <v>1</v>
      </c>
      <c r="D52" s="42">
        <v>57</v>
      </c>
      <c r="E52" s="38"/>
      <c r="F52" s="44">
        <f t="shared" si="0"/>
        <v>0</v>
      </c>
    </row>
    <row r="53" spans="1:6" x14ac:dyDescent="0.25">
      <c r="A53" s="38" t="s">
        <v>84</v>
      </c>
      <c r="B53" s="40" t="s">
        <v>82</v>
      </c>
      <c r="C53" s="41">
        <v>1</v>
      </c>
      <c r="D53" s="42">
        <v>105</v>
      </c>
      <c r="E53" s="38"/>
      <c r="F53" s="44">
        <f t="shared" si="0"/>
        <v>0</v>
      </c>
    </row>
    <row r="54" spans="1:6" x14ac:dyDescent="0.25">
      <c r="A54" s="38" t="s">
        <v>85</v>
      </c>
      <c r="B54" s="40" t="s">
        <v>82</v>
      </c>
      <c r="C54" s="41">
        <v>1</v>
      </c>
      <c r="D54" s="42">
        <v>165</v>
      </c>
      <c r="E54" s="38"/>
      <c r="F54" s="44">
        <f t="shared" si="0"/>
        <v>0</v>
      </c>
    </row>
    <row r="55" spans="1:6" x14ac:dyDescent="0.25">
      <c r="A55" s="38" t="s">
        <v>118</v>
      </c>
      <c r="B55" s="40" t="s">
        <v>82</v>
      </c>
      <c r="C55" s="41">
        <v>1</v>
      </c>
      <c r="D55" s="42">
        <v>105</v>
      </c>
      <c r="E55" s="38"/>
      <c r="F55" s="44">
        <f t="shared" si="0"/>
        <v>0</v>
      </c>
    </row>
    <row r="56" spans="1:6" x14ac:dyDescent="0.25">
      <c r="A56" s="38" t="s">
        <v>119</v>
      </c>
      <c r="B56" s="40" t="s">
        <v>82</v>
      </c>
      <c r="C56" s="41">
        <v>1</v>
      </c>
      <c r="D56" s="42">
        <v>48</v>
      </c>
      <c r="E56" s="38"/>
      <c r="F56" s="44">
        <f t="shared" si="0"/>
        <v>0</v>
      </c>
    </row>
    <row r="57" spans="1:6" x14ac:dyDescent="0.25">
      <c r="A57" s="38" t="s">
        <v>88</v>
      </c>
      <c r="B57" s="40" t="s">
        <v>82</v>
      </c>
      <c r="C57" s="41">
        <v>1</v>
      </c>
      <c r="D57" s="42">
        <v>52</v>
      </c>
      <c r="E57" s="38"/>
      <c r="F57" s="44">
        <f t="shared" si="0"/>
        <v>0</v>
      </c>
    </row>
    <row r="58" spans="1:6" x14ac:dyDescent="0.25">
      <c r="A58" s="38" t="s">
        <v>89</v>
      </c>
      <c r="B58" s="40" t="s">
        <v>82</v>
      </c>
      <c r="C58" s="41">
        <v>1</v>
      </c>
      <c r="D58" s="42">
        <v>105</v>
      </c>
      <c r="E58" s="38"/>
      <c r="F58" s="44">
        <f t="shared" si="0"/>
        <v>0</v>
      </c>
    </row>
    <row r="59" spans="1:6" x14ac:dyDescent="0.25">
      <c r="A59" s="38" t="s">
        <v>90</v>
      </c>
      <c r="B59" s="40" t="s">
        <v>93</v>
      </c>
      <c r="C59" s="41">
        <v>1</v>
      </c>
      <c r="D59" s="42">
        <v>260</v>
      </c>
      <c r="E59" s="38"/>
      <c r="F59" s="44">
        <f t="shared" si="0"/>
        <v>0</v>
      </c>
    </row>
    <row r="60" spans="1:6" x14ac:dyDescent="0.25">
      <c r="A60" s="38" t="s">
        <v>91</v>
      </c>
      <c r="B60" s="40" t="s">
        <v>82</v>
      </c>
      <c r="C60" s="41">
        <v>1</v>
      </c>
      <c r="D60" s="42">
        <v>380</v>
      </c>
      <c r="E60" s="38"/>
      <c r="F60" s="44">
        <f t="shared" si="0"/>
        <v>0</v>
      </c>
    </row>
    <row r="61" spans="1:6" x14ac:dyDescent="0.25">
      <c r="A61" s="38" t="s">
        <v>245</v>
      </c>
      <c r="B61" s="40" t="s">
        <v>82</v>
      </c>
      <c r="C61" s="41">
        <v>1</v>
      </c>
      <c r="D61" s="42">
        <v>105</v>
      </c>
      <c r="E61" s="38"/>
      <c r="F61" s="44">
        <f t="shared" ref="F61" si="1">E61*D61*C61</f>
        <v>0</v>
      </c>
    </row>
    <row r="62" spans="1:6" x14ac:dyDescent="0.25">
      <c r="A62" s="38" t="s">
        <v>246</v>
      </c>
      <c r="B62" s="40" t="s">
        <v>34</v>
      </c>
      <c r="C62" s="41">
        <v>1</v>
      </c>
      <c r="D62" s="42">
        <v>280</v>
      </c>
      <c r="E62" s="38"/>
      <c r="F62" s="44">
        <f t="shared" si="0"/>
        <v>0</v>
      </c>
    </row>
    <row r="63" spans="1:6" x14ac:dyDescent="0.25">
      <c r="A63" s="38" t="s">
        <v>247</v>
      </c>
      <c r="B63" s="40" t="s">
        <v>34</v>
      </c>
      <c r="C63" s="41">
        <v>1</v>
      </c>
      <c r="D63" s="42">
        <f>$D$62</f>
        <v>280</v>
      </c>
      <c r="E63" s="38"/>
      <c r="F63" s="44">
        <f t="shared" si="0"/>
        <v>0</v>
      </c>
    </row>
    <row r="64" spans="1:6" ht="14.25" customHeight="1" x14ac:dyDescent="0.25">
      <c r="A64" s="38" t="s">
        <v>151</v>
      </c>
      <c r="B64" s="40" t="s">
        <v>34</v>
      </c>
      <c r="C64" s="41">
        <v>1</v>
      </c>
      <c r="D64" s="42">
        <f t="shared" ref="D64" si="2">$D$62</f>
        <v>280</v>
      </c>
      <c r="E64" s="38"/>
      <c r="F64" s="44">
        <f t="shared" si="0"/>
        <v>0</v>
      </c>
    </row>
    <row r="65" spans="1:6" ht="14.25" customHeight="1" x14ac:dyDescent="0.25">
      <c r="A65" s="38" t="s">
        <v>268</v>
      </c>
      <c r="B65" s="40" t="s">
        <v>34</v>
      </c>
      <c r="C65" s="41">
        <v>1</v>
      </c>
      <c r="D65" s="42">
        <v>360</v>
      </c>
      <c r="E65" s="38"/>
      <c r="F65" s="44">
        <f t="shared" ref="F65" si="3">E65*D65*C65</f>
        <v>0</v>
      </c>
    </row>
    <row r="66" spans="1:6" x14ac:dyDescent="0.25">
      <c r="A66" s="38" t="s">
        <v>120</v>
      </c>
      <c r="B66" s="40" t="s">
        <v>34</v>
      </c>
      <c r="C66" s="41">
        <v>1</v>
      </c>
      <c r="D66" s="42">
        <v>70</v>
      </c>
      <c r="E66" s="38"/>
      <c r="F66" s="44">
        <f t="shared" si="0"/>
        <v>0</v>
      </c>
    </row>
    <row r="67" spans="1:6" x14ac:dyDescent="0.25">
      <c r="A67" s="38" t="s">
        <v>248</v>
      </c>
      <c r="B67" s="40" t="s">
        <v>34</v>
      </c>
      <c r="C67" s="41">
        <v>1.5</v>
      </c>
      <c r="D67" s="42">
        <f>$D$66</f>
        <v>70</v>
      </c>
      <c r="E67" s="38"/>
      <c r="F67" s="44">
        <f>E67*D67*C67</f>
        <v>0</v>
      </c>
    </row>
    <row r="68" spans="1:6" x14ac:dyDescent="0.25">
      <c r="A68" s="38" t="s">
        <v>249</v>
      </c>
      <c r="B68" s="40" t="s">
        <v>34</v>
      </c>
      <c r="C68" s="41">
        <v>2</v>
      </c>
      <c r="D68" s="42">
        <f t="shared" ref="D68:D70" si="4">$D$66</f>
        <v>70</v>
      </c>
      <c r="E68" s="38"/>
      <c r="F68" s="44">
        <f t="shared" si="0"/>
        <v>0</v>
      </c>
    </row>
    <row r="69" spans="1:6" x14ac:dyDescent="0.25">
      <c r="A69" s="38" t="s">
        <v>250</v>
      </c>
      <c r="B69" s="40" t="s">
        <v>34</v>
      </c>
      <c r="C69" s="41">
        <v>2.5</v>
      </c>
      <c r="D69" s="42">
        <f t="shared" si="4"/>
        <v>70</v>
      </c>
      <c r="E69" s="38"/>
      <c r="F69" s="44">
        <f t="shared" ref="F69:F83" si="5">E69*D69*C69</f>
        <v>0</v>
      </c>
    </row>
    <row r="70" spans="1:6" x14ac:dyDescent="0.25">
      <c r="A70" s="38" t="s">
        <v>145</v>
      </c>
      <c r="B70" s="40" t="s">
        <v>34</v>
      </c>
      <c r="C70" s="41">
        <v>3</v>
      </c>
      <c r="D70" s="42">
        <f t="shared" si="4"/>
        <v>70</v>
      </c>
      <c r="E70" s="38"/>
      <c r="F70" s="44">
        <f t="shared" si="5"/>
        <v>0</v>
      </c>
    </row>
    <row r="71" spans="1:6" x14ac:dyDescent="0.25">
      <c r="A71" s="38" t="s">
        <v>251</v>
      </c>
      <c r="B71" s="40" t="s">
        <v>34</v>
      </c>
      <c r="C71" s="41">
        <f>C66</f>
        <v>1</v>
      </c>
      <c r="D71" s="42">
        <v>295</v>
      </c>
      <c r="E71" s="38"/>
      <c r="F71" s="44">
        <f t="shared" si="5"/>
        <v>0</v>
      </c>
    </row>
    <row r="72" spans="1:6" x14ac:dyDescent="0.25">
      <c r="A72" s="38" t="s">
        <v>252</v>
      </c>
      <c r="B72" s="40" t="s">
        <v>34</v>
      </c>
      <c r="C72" s="41">
        <f>C67</f>
        <v>1.5</v>
      </c>
      <c r="D72" s="42">
        <f>$D$71</f>
        <v>295</v>
      </c>
      <c r="E72" s="38"/>
      <c r="F72" s="44">
        <f t="shared" si="5"/>
        <v>0</v>
      </c>
    </row>
    <row r="73" spans="1:6" x14ac:dyDescent="0.25">
      <c r="A73" s="38" t="s">
        <v>253</v>
      </c>
      <c r="B73" s="40" t="s">
        <v>34</v>
      </c>
      <c r="C73" s="41">
        <v>2</v>
      </c>
      <c r="D73" s="42">
        <f t="shared" ref="D73:D75" si="6">$D$71</f>
        <v>295</v>
      </c>
      <c r="E73" s="38"/>
      <c r="F73" s="44">
        <f t="shared" si="5"/>
        <v>0</v>
      </c>
    </row>
    <row r="74" spans="1:6" x14ac:dyDescent="0.25">
      <c r="A74" s="38" t="s">
        <v>254</v>
      </c>
      <c r="B74" s="40" t="s">
        <v>34</v>
      </c>
      <c r="C74" s="41">
        <v>2.5</v>
      </c>
      <c r="D74" s="42">
        <f t="shared" si="6"/>
        <v>295</v>
      </c>
      <c r="E74" s="38"/>
      <c r="F74" s="44">
        <f t="shared" si="5"/>
        <v>0</v>
      </c>
    </row>
    <row r="75" spans="1:6" x14ac:dyDescent="0.25">
      <c r="A75" s="38" t="s">
        <v>255</v>
      </c>
      <c r="B75" s="40" t="s">
        <v>34</v>
      </c>
      <c r="C75" s="41">
        <v>3</v>
      </c>
      <c r="D75" s="42">
        <f t="shared" si="6"/>
        <v>295</v>
      </c>
      <c r="E75" s="38"/>
      <c r="F75" s="44">
        <f t="shared" si="5"/>
        <v>0</v>
      </c>
    </row>
    <row r="76" spans="1:6" x14ac:dyDescent="0.25">
      <c r="A76" s="38" t="s">
        <v>256</v>
      </c>
      <c r="B76" s="40" t="s">
        <v>34</v>
      </c>
      <c r="C76" s="41">
        <v>0.8</v>
      </c>
      <c r="D76" s="42">
        <v>75</v>
      </c>
      <c r="E76" s="38"/>
      <c r="F76" s="44">
        <f t="shared" si="5"/>
        <v>0</v>
      </c>
    </row>
    <row r="77" spans="1:6" x14ac:dyDescent="0.25">
      <c r="A77" s="38" t="s">
        <v>121</v>
      </c>
      <c r="B77" s="40" t="s">
        <v>34</v>
      </c>
      <c r="C77" s="41">
        <v>1</v>
      </c>
      <c r="D77" s="42">
        <v>75</v>
      </c>
      <c r="E77" s="38"/>
      <c r="F77" s="44">
        <f>E77*D77*C77</f>
        <v>0</v>
      </c>
    </row>
    <row r="78" spans="1:6" x14ac:dyDescent="0.25">
      <c r="A78" s="38" t="s">
        <v>257</v>
      </c>
      <c r="B78" s="40" t="s">
        <v>34</v>
      </c>
      <c r="C78" s="41">
        <v>1.2</v>
      </c>
      <c r="D78" s="42">
        <v>75</v>
      </c>
      <c r="E78" s="38"/>
      <c r="F78" s="44">
        <f t="shared" ref="F78" si="7">E78*D78*C78</f>
        <v>0</v>
      </c>
    </row>
    <row r="79" spans="1:6" x14ac:dyDescent="0.25">
      <c r="A79" s="38" t="s">
        <v>267</v>
      </c>
      <c r="B79" s="40" t="s">
        <v>34</v>
      </c>
      <c r="C79" s="41">
        <v>1.3</v>
      </c>
      <c r="D79" s="42">
        <v>75</v>
      </c>
      <c r="E79" s="38"/>
      <c r="F79" s="44">
        <f t="shared" ref="F79" si="8">E79*D79*C79</f>
        <v>0</v>
      </c>
    </row>
    <row r="80" spans="1:6" x14ac:dyDescent="0.25">
      <c r="A80" s="38" t="s">
        <v>258</v>
      </c>
      <c r="B80" s="40" t="s">
        <v>34</v>
      </c>
      <c r="C80" s="41">
        <v>1.5</v>
      </c>
      <c r="D80" s="42">
        <v>75</v>
      </c>
      <c r="E80" s="38"/>
      <c r="F80" s="44">
        <f t="shared" si="5"/>
        <v>0</v>
      </c>
    </row>
    <row r="81" spans="1:6" x14ac:dyDescent="0.25">
      <c r="A81" s="38" t="s">
        <v>259</v>
      </c>
      <c r="B81" s="40" t="s">
        <v>34</v>
      </c>
      <c r="C81" s="41">
        <v>1.7</v>
      </c>
      <c r="D81" s="42">
        <v>75</v>
      </c>
      <c r="E81" s="38"/>
      <c r="F81" s="44">
        <f t="shared" si="5"/>
        <v>0</v>
      </c>
    </row>
    <row r="82" spans="1:6" x14ac:dyDescent="0.25">
      <c r="A82" s="38" t="s">
        <v>260</v>
      </c>
      <c r="B82" s="40" t="s">
        <v>34</v>
      </c>
      <c r="C82" s="41">
        <v>1.8</v>
      </c>
      <c r="D82" s="42">
        <v>75</v>
      </c>
      <c r="E82" s="38"/>
      <c r="F82" s="44">
        <f t="shared" si="5"/>
        <v>0</v>
      </c>
    </row>
    <row r="83" spans="1:6" x14ac:dyDescent="0.25">
      <c r="A83" s="38" t="s">
        <v>261</v>
      </c>
      <c r="B83" s="40" t="s">
        <v>34</v>
      </c>
      <c r="C83" s="41">
        <v>2</v>
      </c>
      <c r="D83" s="42">
        <v>75</v>
      </c>
      <c r="E83" s="38"/>
      <c r="F83" s="44">
        <f t="shared" si="5"/>
        <v>0</v>
      </c>
    </row>
    <row r="84" spans="1:6" x14ac:dyDescent="0.25">
      <c r="A84" s="38" t="s">
        <v>262</v>
      </c>
      <c r="B84" s="40" t="s">
        <v>34</v>
      </c>
      <c r="C84" s="41">
        <v>2.2000000000000002</v>
      </c>
      <c r="D84" s="42">
        <v>75</v>
      </c>
      <c r="E84" s="38"/>
      <c r="F84" s="44">
        <f>E84*D84*C84</f>
        <v>0</v>
      </c>
    </row>
    <row r="85" spans="1:6" x14ac:dyDescent="0.25">
      <c r="A85" s="38" t="s">
        <v>263</v>
      </c>
      <c r="B85" s="40" t="s">
        <v>34</v>
      </c>
      <c r="C85" s="41">
        <v>2.2999999999999998</v>
      </c>
      <c r="D85" s="42">
        <v>75</v>
      </c>
      <c r="E85" s="38"/>
      <c r="F85" s="44">
        <f t="shared" ref="F85:F88" si="9">E85*D85*C85</f>
        <v>0</v>
      </c>
    </row>
    <row r="86" spans="1:6" x14ac:dyDescent="0.25">
      <c r="A86" s="38" t="s">
        <v>264</v>
      </c>
      <c r="B86" s="40" t="s">
        <v>34</v>
      </c>
      <c r="C86" s="41">
        <v>2.4</v>
      </c>
      <c r="D86" s="42">
        <v>75</v>
      </c>
      <c r="E86" s="38"/>
      <c r="F86" s="44">
        <f t="shared" si="9"/>
        <v>0</v>
      </c>
    </row>
    <row r="87" spans="1:6" x14ac:dyDescent="0.25">
      <c r="A87" s="38" t="s">
        <v>265</v>
      </c>
      <c r="B87" s="40" t="s">
        <v>34</v>
      </c>
      <c r="C87" s="41">
        <v>2.5</v>
      </c>
      <c r="D87" s="42">
        <v>75</v>
      </c>
      <c r="E87" s="38"/>
      <c r="F87" s="44">
        <f t="shared" si="9"/>
        <v>0</v>
      </c>
    </row>
    <row r="88" spans="1:6" x14ac:dyDescent="0.25">
      <c r="A88" s="38" t="s">
        <v>266</v>
      </c>
      <c r="B88" s="40" t="s">
        <v>34</v>
      </c>
      <c r="C88" s="41">
        <v>3</v>
      </c>
      <c r="D88" s="42">
        <v>75</v>
      </c>
      <c r="E88" s="38"/>
      <c r="F88" s="44">
        <f t="shared" si="9"/>
        <v>0</v>
      </c>
    </row>
    <row r="89" spans="1:6" x14ac:dyDescent="0.25">
      <c r="F89" s="45">
        <f>SUM(F26:F88)</f>
        <v>0</v>
      </c>
    </row>
  </sheetData>
  <autoFilter ref="A1:F85" xr:uid="{5E485E50-8D59-4BBC-95F7-F9AF5322C33E}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8F7F-FA32-476D-8E37-A0C7116CCF68}">
  <dimension ref="B1:G38"/>
  <sheetViews>
    <sheetView workbookViewId="0">
      <selection activeCell="J28" sqref="J28"/>
    </sheetView>
  </sheetViews>
  <sheetFormatPr defaultRowHeight="15" x14ac:dyDescent="0.25"/>
  <cols>
    <col min="2" max="2" width="9.140625" style="22"/>
    <col min="3" max="3" width="55.85546875" customWidth="1"/>
    <col min="4" max="7" width="9.140625" style="22"/>
  </cols>
  <sheetData>
    <row r="1" spans="2:7" ht="15.75" thickBot="1" x14ac:dyDescent="0.3"/>
    <row r="2" spans="2:7" x14ac:dyDescent="0.25">
      <c r="B2" s="515" t="s">
        <v>12</v>
      </c>
      <c r="C2" s="517" t="s">
        <v>152</v>
      </c>
      <c r="D2" s="517" t="s">
        <v>153</v>
      </c>
      <c r="E2" s="517"/>
      <c r="F2" s="517"/>
      <c r="G2" s="519"/>
    </row>
    <row r="3" spans="2:7" x14ac:dyDescent="0.25">
      <c r="B3" s="516"/>
      <c r="C3" s="518"/>
      <c r="D3" s="518" t="s">
        <v>154</v>
      </c>
      <c r="E3" s="518"/>
      <c r="F3" s="518" t="s">
        <v>155</v>
      </c>
      <c r="G3" s="520"/>
    </row>
    <row r="4" spans="2:7" ht="45" x14ac:dyDescent="0.25">
      <c r="B4" s="47">
        <v>1</v>
      </c>
      <c r="C4" s="48" t="s">
        <v>156</v>
      </c>
      <c r="D4" s="511"/>
      <c r="E4" s="511"/>
      <c r="F4" s="511" t="s">
        <v>157</v>
      </c>
      <c r="G4" s="512"/>
    </row>
    <row r="5" spans="2:7" x14ac:dyDescent="0.25">
      <c r="B5" s="47">
        <v>2</v>
      </c>
      <c r="C5" s="48" t="s">
        <v>158</v>
      </c>
      <c r="D5" s="511"/>
      <c r="E5" s="511"/>
      <c r="F5" s="511" t="s">
        <v>157</v>
      </c>
      <c r="G5" s="512"/>
    </row>
    <row r="6" spans="2:7" ht="30" x14ac:dyDescent="0.25">
      <c r="B6" s="47">
        <v>3</v>
      </c>
      <c r="C6" s="48" t="s">
        <v>159</v>
      </c>
      <c r="D6" s="511"/>
      <c r="E6" s="511"/>
      <c r="F6" s="511" t="s">
        <v>157</v>
      </c>
      <c r="G6" s="512"/>
    </row>
    <row r="7" spans="2:7" x14ac:dyDescent="0.25">
      <c r="B7" s="47">
        <v>4</v>
      </c>
      <c r="C7" s="48" t="s">
        <v>160</v>
      </c>
      <c r="D7" s="511"/>
      <c r="E7" s="511"/>
      <c r="F7" s="511" t="s">
        <v>157</v>
      </c>
      <c r="G7" s="512"/>
    </row>
    <row r="8" spans="2:7" x14ac:dyDescent="0.25">
      <c r="B8" s="47">
        <v>5</v>
      </c>
      <c r="C8" s="48" t="s">
        <v>161</v>
      </c>
      <c r="D8" s="511"/>
      <c r="E8" s="511"/>
      <c r="F8" s="511" t="s">
        <v>157</v>
      </c>
      <c r="G8" s="512"/>
    </row>
    <row r="9" spans="2:7" x14ac:dyDescent="0.25">
      <c r="B9" s="47">
        <v>6</v>
      </c>
      <c r="C9" s="48" t="s">
        <v>183</v>
      </c>
      <c r="D9" s="511"/>
      <c r="E9" s="511"/>
      <c r="F9" s="511" t="s">
        <v>157</v>
      </c>
      <c r="G9" s="512"/>
    </row>
    <row r="10" spans="2:7" x14ac:dyDescent="0.25">
      <c r="B10" s="47">
        <v>7</v>
      </c>
      <c r="C10" s="48" t="s">
        <v>184</v>
      </c>
      <c r="D10" s="511"/>
      <c r="E10" s="511"/>
      <c r="F10" s="511" t="s">
        <v>157</v>
      </c>
      <c r="G10" s="512"/>
    </row>
    <row r="11" spans="2:7" x14ac:dyDescent="0.25">
      <c r="B11" s="47">
        <v>8</v>
      </c>
      <c r="C11" s="48" t="s">
        <v>185</v>
      </c>
      <c r="D11" s="511"/>
      <c r="E11" s="511"/>
      <c r="F11" s="511" t="s">
        <v>157</v>
      </c>
      <c r="G11" s="512"/>
    </row>
    <row r="12" spans="2:7" ht="30" x14ac:dyDescent="0.25">
      <c r="B12" s="47">
        <v>9</v>
      </c>
      <c r="C12" s="48" t="s">
        <v>162</v>
      </c>
      <c r="D12" s="511"/>
      <c r="E12" s="511"/>
      <c r="F12" s="511" t="s">
        <v>157</v>
      </c>
      <c r="G12" s="512"/>
    </row>
    <row r="13" spans="2:7" ht="45" x14ac:dyDescent="0.25">
      <c r="B13" s="47">
        <v>10</v>
      </c>
      <c r="C13" s="48" t="s">
        <v>163</v>
      </c>
      <c r="D13" s="511"/>
      <c r="E13" s="511"/>
      <c r="F13" s="511" t="s">
        <v>157</v>
      </c>
      <c r="G13" s="512"/>
    </row>
    <row r="14" spans="2:7" x14ac:dyDescent="0.25">
      <c r="B14" s="47">
        <v>11</v>
      </c>
      <c r="C14" s="48" t="s">
        <v>164</v>
      </c>
      <c r="D14" s="511"/>
      <c r="E14" s="511"/>
      <c r="F14" s="511" t="s">
        <v>157</v>
      </c>
      <c r="G14" s="512"/>
    </row>
    <row r="15" spans="2:7" x14ac:dyDescent="0.25">
      <c r="B15" s="47">
        <v>12</v>
      </c>
      <c r="C15" s="48" t="s">
        <v>165</v>
      </c>
      <c r="D15" s="511"/>
      <c r="E15" s="511"/>
      <c r="F15" s="511" t="s">
        <v>157</v>
      </c>
      <c r="G15" s="512"/>
    </row>
    <row r="16" spans="2:7" x14ac:dyDescent="0.25">
      <c r="B16" s="47">
        <v>13</v>
      </c>
      <c r="C16" s="48" t="s">
        <v>166</v>
      </c>
      <c r="D16" s="511" t="s">
        <v>157</v>
      </c>
      <c r="E16" s="511"/>
      <c r="F16" s="511"/>
      <c r="G16" s="512"/>
    </row>
    <row r="17" spans="2:7" x14ac:dyDescent="0.25">
      <c r="B17" s="47">
        <v>14</v>
      </c>
      <c r="C17" s="48" t="s">
        <v>167</v>
      </c>
      <c r="D17" s="511" t="s">
        <v>157</v>
      </c>
      <c r="E17" s="511"/>
      <c r="F17" s="511"/>
      <c r="G17" s="512"/>
    </row>
    <row r="18" spans="2:7" ht="30" x14ac:dyDescent="0.25">
      <c r="B18" s="47">
        <v>15</v>
      </c>
      <c r="C18" s="48" t="s">
        <v>168</v>
      </c>
      <c r="D18" s="511" t="s">
        <v>157</v>
      </c>
      <c r="E18" s="511"/>
      <c r="F18" s="511"/>
      <c r="G18" s="512"/>
    </row>
    <row r="19" spans="2:7" ht="45" x14ac:dyDescent="0.25">
      <c r="B19" s="47">
        <v>16</v>
      </c>
      <c r="C19" s="48" t="s">
        <v>169</v>
      </c>
      <c r="D19" s="511" t="s">
        <v>157</v>
      </c>
      <c r="E19" s="511"/>
      <c r="F19" s="511"/>
      <c r="G19" s="512"/>
    </row>
    <row r="20" spans="2:7" x14ac:dyDescent="0.25">
      <c r="B20" s="47">
        <v>17</v>
      </c>
      <c r="C20" s="48" t="s">
        <v>170</v>
      </c>
      <c r="D20" s="511" t="s">
        <v>157</v>
      </c>
      <c r="E20" s="511"/>
      <c r="F20" s="511"/>
      <c r="G20" s="512"/>
    </row>
    <row r="21" spans="2:7" x14ac:dyDescent="0.25">
      <c r="B21" s="47">
        <v>18</v>
      </c>
      <c r="C21" s="48" t="s">
        <v>171</v>
      </c>
      <c r="D21" s="511" t="s">
        <v>157</v>
      </c>
      <c r="E21" s="511"/>
      <c r="F21" s="511"/>
      <c r="G21" s="512"/>
    </row>
    <row r="22" spans="2:7" x14ac:dyDescent="0.25">
      <c r="B22" s="47">
        <v>19</v>
      </c>
      <c r="C22" s="48" t="s">
        <v>172</v>
      </c>
      <c r="D22" s="511" t="s">
        <v>157</v>
      </c>
      <c r="E22" s="511"/>
      <c r="F22" s="511"/>
      <c r="G22" s="512"/>
    </row>
    <row r="23" spans="2:7" ht="45" x14ac:dyDescent="0.25">
      <c r="B23" s="47">
        <v>20</v>
      </c>
      <c r="C23" s="48" t="s">
        <v>173</v>
      </c>
      <c r="D23" s="511" t="s">
        <v>157</v>
      </c>
      <c r="E23" s="511"/>
      <c r="F23" s="511"/>
      <c r="G23" s="512"/>
    </row>
    <row r="24" spans="2:7" x14ac:dyDescent="0.25">
      <c r="B24" s="47">
        <v>21</v>
      </c>
      <c r="C24" s="48" t="s">
        <v>174</v>
      </c>
      <c r="D24" s="511" t="s">
        <v>157</v>
      </c>
      <c r="E24" s="511"/>
      <c r="F24" s="511"/>
      <c r="G24" s="512"/>
    </row>
    <row r="25" spans="2:7" ht="45" x14ac:dyDescent="0.25">
      <c r="B25" s="47">
        <v>22</v>
      </c>
      <c r="C25" s="48" t="s">
        <v>175</v>
      </c>
      <c r="D25" s="511" t="s">
        <v>157</v>
      </c>
      <c r="E25" s="511"/>
      <c r="F25" s="511"/>
      <c r="G25" s="512"/>
    </row>
    <row r="26" spans="2:7" x14ac:dyDescent="0.25">
      <c r="B26" s="47">
        <v>23</v>
      </c>
      <c r="C26" s="48" t="s">
        <v>176</v>
      </c>
      <c r="D26" s="511" t="s">
        <v>157</v>
      </c>
      <c r="E26" s="511"/>
      <c r="F26" s="511"/>
      <c r="G26" s="512"/>
    </row>
    <row r="27" spans="2:7" x14ac:dyDescent="0.25">
      <c r="B27" s="47">
        <v>24</v>
      </c>
      <c r="C27" s="48" t="s">
        <v>177</v>
      </c>
      <c r="D27" s="511" t="s">
        <v>157</v>
      </c>
      <c r="E27" s="511"/>
      <c r="F27" s="511"/>
      <c r="G27" s="512"/>
    </row>
    <row r="28" spans="2:7" x14ac:dyDescent="0.25">
      <c r="B28" s="47">
        <v>25</v>
      </c>
      <c r="C28" s="48" t="s">
        <v>178</v>
      </c>
      <c r="D28" s="511" t="s">
        <v>157</v>
      </c>
      <c r="E28" s="511"/>
      <c r="F28" s="511"/>
      <c r="G28" s="512"/>
    </row>
    <row r="29" spans="2:7" x14ac:dyDescent="0.25">
      <c r="B29" s="47">
        <v>26</v>
      </c>
      <c r="C29" s="48" t="s">
        <v>179</v>
      </c>
      <c r="D29" s="511" t="s">
        <v>157</v>
      </c>
      <c r="E29" s="511"/>
      <c r="F29" s="511"/>
      <c r="G29" s="512"/>
    </row>
    <row r="30" spans="2:7" x14ac:dyDescent="0.25">
      <c r="B30" s="47">
        <v>27</v>
      </c>
      <c r="C30" s="48" t="s">
        <v>180</v>
      </c>
      <c r="D30" s="511" t="s">
        <v>157</v>
      </c>
      <c r="E30" s="511"/>
      <c r="F30" s="511"/>
      <c r="G30" s="512"/>
    </row>
    <row r="31" spans="2:7" x14ac:dyDescent="0.25">
      <c r="B31" s="47">
        <v>28</v>
      </c>
      <c r="C31" s="48" t="s">
        <v>181</v>
      </c>
      <c r="D31" s="511" t="s">
        <v>157</v>
      </c>
      <c r="E31" s="511"/>
      <c r="F31" s="511"/>
      <c r="G31" s="512"/>
    </row>
    <row r="32" spans="2:7" x14ac:dyDescent="0.25">
      <c r="B32" s="47">
        <v>29</v>
      </c>
      <c r="C32" s="48" t="s">
        <v>182</v>
      </c>
      <c r="D32" s="511" t="s">
        <v>157</v>
      </c>
      <c r="E32" s="511"/>
      <c r="F32" s="511"/>
      <c r="G32" s="512"/>
    </row>
    <row r="33" spans="2:7" ht="15.75" thickBot="1" x14ac:dyDescent="0.3">
      <c r="B33" s="49">
        <v>30</v>
      </c>
      <c r="C33" s="50"/>
      <c r="D33" s="513"/>
      <c r="E33" s="513"/>
      <c r="F33" s="513"/>
      <c r="G33" s="514"/>
    </row>
    <row r="34" spans="2:7" x14ac:dyDescent="0.25">
      <c r="C34" s="51"/>
    </row>
    <row r="35" spans="2:7" x14ac:dyDescent="0.25">
      <c r="C35" s="51"/>
    </row>
    <row r="36" spans="2:7" x14ac:dyDescent="0.25">
      <c r="C36" s="51"/>
    </row>
    <row r="37" spans="2:7" x14ac:dyDescent="0.25">
      <c r="C37" s="51"/>
    </row>
    <row r="38" spans="2:7" x14ac:dyDescent="0.25">
      <c r="C38" s="51"/>
    </row>
  </sheetData>
  <mergeCells count="65">
    <mergeCell ref="D4:E4"/>
    <mergeCell ref="F4:G4"/>
    <mergeCell ref="B2:B3"/>
    <mergeCell ref="C2:C3"/>
    <mergeCell ref="D2:G2"/>
    <mergeCell ref="D3:E3"/>
    <mergeCell ref="F3:G3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32:E32"/>
    <mergeCell ref="F32:G32"/>
    <mergeCell ref="D33:E33"/>
    <mergeCell ref="F33:G33"/>
    <mergeCell ref="D29:E29"/>
    <mergeCell ref="F29:G29"/>
    <mergeCell ref="D30:E30"/>
    <mergeCell ref="F30:G30"/>
    <mergeCell ref="D31:E31"/>
    <mergeCell ref="F31:G3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BA0E7-846F-437D-AF27-507D6CD00C7A}">
  <sheetPr>
    <tabColor theme="6" tint="0.79998168889431442"/>
  </sheetPr>
  <dimension ref="A1:K9"/>
  <sheetViews>
    <sheetView workbookViewId="0">
      <selection activeCell="E15" sqref="E15"/>
    </sheetView>
  </sheetViews>
  <sheetFormatPr defaultRowHeight="15" x14ac:dyDescent="0.25"/>
  <cols>
    <col min="2" max="2" width="23.5703125" bestFit="1" customWidth="1"/>
    <col min="3" max="3" width="5.7109375" bestFit="1" customWidth="1"/>
    <col min="4" max="4" width="4.5703125" bestFit="1" customWidth="1"/>
    <col min="5" max="5" width="8.140625" bestFit="1" customWidth="1"/>
    <col min="6" max="6" width="4.7109375" bestFit="1" customWidth="1"/>
    <col min="7" max="7" width="10.28515625" customWidth="1"/>
    <col min="8" max="8" width="12.42578125" bestFit="1" customWidth="1"/>
    <col min="9" max="9" width="13.28515625" bestFit="1" customWidth="1"/>
    <col min="10" max="10" width="14" bestFit="1" customWidth="1"/>
    <col min="11" max="11" width="13.28515625" bestFit="1" customWidth="1"/>
  </cols>
  <sheetData>
    <row r="1" spans="1:11" x14ac:dyDescent="0.25">
      <c r="A1" t="s">
        <v>194</v>
      </c>
      <c r="B1" t="s">
        <v>152</v>
      </c>
      <c r="C1" t="s">
        <v>190</v>
      </c>
      <c r="D1" t="s">
        <v>188</v>
      </c>
      <c r="E1" t="s">
        <v>187</v>
      </c>
      <c r="F1" t="s">
        <v>189</v>
      </c>
      <c r="G1" s="46" t="s">
        <v>192</v>
      </c>
      <c r="H1" s="46" t="s">
        <v>193</v>
      </c>
      <c r="I1" t="s">
        <v>2</v>
      </c>
      <c r="J1" t="s">
        <v>6</v>
      </c>
      <c r="K1" t="s">
        <v>0</v>
      </c>
    </row>
    <row r="2" spans="1:11" x14ac:dyDescent="0.25">
      <c r="A2">
        <v>1</v>
      </c>
      <c r="B2" t="s">
        <v>186</v>
      </c>
      <c r="C2" s="46">
        <v>4</v>
      </c>
      <c r="D2" s="52">
        <v>1.5</v>
      </c>
      <c r="E2" s="52">
        <v>1.5</v>
      </c>
      <c r="F2" s="52">
        <v>4</v>
      </c>
      <c r="G2" s="52">
        <f>C2*D2*E2*F2</f>
        <v>36</v>
      </c>
      <c r="H2" s="52">
        <f>D2*E2*C2</f>
        <v>9</v>
      </c>
      <c r="I2" s="36">
        <v>5520</v>
      </c>
      <c r="J2" s="36">
        <v>5520</v>
      </c>
      <c r="K2" s="36">
        <f>G2*0.77*30+H2*2*0.77*30</f>
        <v>1247.3999999999999</v>
      </c>
    </row>
    <row r="3" spans="1:11" x14ac:dyDescent="0.25">
      <c r="A3">
        <v>2</v>
      </c>
      <c r="B3" t="s">
        <v>191</v>
      </c>
      <c r="C3" s="46">
        <v>4</v>
      </c>
      <c r="D3" s="52">
        <v>1.5</v>
      </c>
      <c r="E3" s="52">
        <v>1.5</v>
      </c>
      <c r="F3" s="52">
        <v>4.7</v>
      </c>
      <c r="G3" s="52">
        <f>C3*D3*E3*F3</f>
        <v>42.300000000000004</v>
      </c>
      <c r="H3" s="52">
        <f>D3*E3*C3</f>
        <v>9</v>
      </c>
      <c r="I3" s="36">
        <v>5520</v>
      </c>
      <c r="J3" s="36">
        <v>5520</v>
      </c>
      <c r="K3" s="36">
        <f>G3*0.77*30+H3*2*0.77*30</f>
        <v>1392.93</v>
      </c>
    </row>
    <row r="4" spans="1:11" x14ac:dyDescent="0.25">
      <c r="A4">
        <v>3</v>
      </c>
      <c r="B4" t="s">
        <v>195</v>
      </c>
      <c r="C4" s="46">
        <v>1</v>
      </c>
      <c r="D4" s="52"/>
      <c r="E4" s="52"/>
      <c r="F4" s="52"/>
      <c r="G4" s="52"/>
      <c r="H4" s="52">
        <f>PI()*6.5^2*C4</f>
        <v>132.73228961416876</v>
      </c>
    </row>
    <row r="5" spans="1:11" x14ac:dyDescent="0.25">
      <c r="A5">
        <v>3</v>
      </c>
      <c r="B5" t="s">
        <v>196</v>
      </c>
      <c r="C5" s="46"/>
      <c r="D5" s="52"/>
      <c r="E5" s="52"/>
      <c r="F5" s="52"/>
      <c r="G5" s="52"/>
      <c r="H5" s="52"/>
    </row>
    <row r="6" spans="1:11" x14ac:dyDescent="0.25">
      <c r="A6">
        <v>3</v>
      </c>
      <c r="B6" t="s">
        <v>197</v>
      </c>
      <c r="C6" s="46">
        <v>1</v>
      </c>
      <c r="D6" s="52">
        <v>1.5</v>
      </c>
      <c r="E6" s="52">
        <f>2*PI()*(6.5/2)</f>
        <v>20.420352248333657</v>
      </c>
      <c r="F6" s="52">
        <v>4.7</v>
      </c>
      <c r="G6" s="52">
        <f>C6*D6*E6*F6</f>
        <v>143.96348335075228</v>
      </c>
      <c r="H6" s="52">
        <f>D6*E6*C6</f>
        <v>30.630528372500486</v>
      </c>
      <c r="I6" s="36">
        <f>G6*69</f>
        <v>9933.480351201908</v>
      </c>
      <c r="J6" s="36">
        <f>I6*2/3</f>
        <v>6622.320234134605</v>
      </c>
      <c r="K6" s="36">
        <f>G6*0.77*30+H6*2*0.77*30</f>
        <v>4740.6868762119002</v>
      </c>
    </row>
    <row r="7" spans="1:11" x14ac:dyDescent="0.25">
      <c r="A7">
        <v>4</v>
      </c>
      <c r="B7" t="s">
        <v>197</v>
      </c>
      <c r="C7" s="46">
        <v>2</v>
      </c>
      <c r="D7" s="52">
        <v>1.5</v>
      </c>
      <c r="E7" s="52">
        <f>2*PI()*(6.5/2)</f>
        <v>20.420352248333657</v>
      </c>
      <c r="F7" s="52">
        <v>6</v>
      </c>
      <c r="G7" s="52">
        <f>C7*D7*E7*F7</f>
        <v>367.5663404700058</v>
      </c>
      <c r="H7" s="52">
        <f>D7*E7*C7</f>
        <v>61.261056745000971</v>
      </c>
      <c r="I7" s="36">
        <f>G7*69</f>
        <v>25362.077492430399</v>
      </c>
      <c r="J7" s="36">
        <f>I7*2/3</f>
        <v>16908.051661620266</v>
      </c>
      <c r="K7" s="36">
        <f>G7*0.77*30+H7*2*0.77*30</f>
        <v>11321.043286476179</v>
      </c>
    </row>
    <row r="8" spans="1:11" x14ac:dyDescent="0.25">
      <c r="A8">
        <v>6</v>
      </c>
      <c r="B8" t="s">
        <v>198</v>
      </c>
      <c r="C8" s="46">
        <v>1</v>
      </c>
    </row>
    <row r="9" spans="1:11" x14ac:dyDescent="0.25">
      <c r="A9">
        <v>6</v>
      </c>
      <c r="B9" t="s">
        <v>199</v>
      </c>
      <c r="C9" s="46">
        <v>2</v>
      </c>
      <c r="D9" s="52">
        <v>1.5</v>
      </c>
      <c r="E9" s="52">
        <f>2*PI()*(6.5/2)</f>
        <v>20.420352248333657</v>
      </c>
      <c r="F9" s="52">
        <v>6</v>
      </c>
      <c r="G9" s="52">
        <f>C9*D9*E9*F9</f>
        <v>367.5663404700058</v>
      </c>
      <c r="H9" s="52">
        <f>D9*E9*C9</f>
        <v>61.261056745000971</v>
      </c>
      <c r="I9" s="36">
        <f>G9*69</f>
        <v>25362.077492430399</v>
      </c>
      <c r="J9" s="36">
        <f>I9*2/3</f>
        <v>16908.051661620266</v>
      </c>
      <c r="K9" s="36">
        <f>G9*0.77*30+H9*2*0.77*30</f>
        <v>11321.043286476179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dbc45f-d7a6-4acb-ba6e-2ead95e53c9a">
      <Terms xmlns="http://schemas.microsoft.com/office/infopath/2007/PartnerControls"/>
    </lcf76f155ced4ddcb4097134ff3c332f>
    <TaxCatchAll xmlns="43f23c16-79e7-4a4a-aed4-53f2c9dbbd7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A4ED6480079B44A39528FF45A77144" ma:contentTypeVersion="14" ma:contentTypeDescription="Crie um novo documento." ma:contentTypeScope="" ma:versionID="6dbd69b4604e17aa3500324b46c18072">
  <xsd:schema xmlns:xsd="http://www.w3.org/2001/XMLSchema" xmlns:xs="http://www.w3.org/2001/XMLSchema" xmlns:p="http://schemas.microsoft.com/office/2006/metadata/properties" xmlns:ns2="b3dbc45f-d7a6-4acb-ba6e-2ead95e53c9a" xmlns:ns3="43f23c16-79e7-4a4a-aed4-53f2c9dbbd74" targetNamespace="http://schemas.microsoft.com/office/2006/metadata/properties" ma:root="true" ma:fieldsID="5a27bfe0e74b07ea8af7c179009fe1ba" ns2:_="" ns3:_="">
    <xsd:import namespace="b3dbc45f-d7a6-4acb-ba6e-2ead95e53c9a"/>
    <xsd:import namespace="43f23c16-79e7-4a4a-aed4-53f2c9dbbd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bc45f-d7a6-4acb-ba6e-2ead95e53c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ef33bb0-cb26-4614-92d8-952657965f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23c16-79e7-4a4a-aed4-53f2c9dbbd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d2675c-5bb0-476d-9f65-fd9ab7cbfa86}" ma:internalName="TaxCatchAll" ma:showField="CatchAllData" ma:web="43f23c16-79e7-4a4a-aed4-53f2c9dbbd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BAFE8-4A8B-4D62-9C27-ABEBE0074B16}">
  <ds:schemaRefs>
    <ds:schemaRef ds:uri="http://schemas.microsoft.com/office/2006/metadata/properties"/>
    <ds:schemaRef ds:uri="http://schemas.microsoft.com/office/infopath/2007/PartnerControls"/>
    <ds:schemaRef ds:uri="b3dbc45f-d7a6-4acb-ba6e-2ead95e53c9a"/>
    <ds:schemaRef ds:uri="43f23c16-79e7-4a4a-aed4-53f2c9dbbd74"/>
  </ds:schemaRefs>
</ds:datastoreItem>
</file>

<file path=customXml/itemProps2.xml><?xml version="1.0" encoding="utf-8"?>
<ds:datastoreItem xmlns:ds="http://schemas.openxmlformats.org/officeDocument/2006/customXml" ds:itemID="{47DD32E4-B1B7-46E6-B037-D7C3E10DC1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dbc45f-d7a6-4acb-ba6e-2ead95e53c9a"/>
    <ds:schemaRef ds:uri="43f23c16-79e7-4a4a-aed4-53f2c9dbbd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7EBBE6-F4EE-426C-9B70-4495345F46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Valores_Dados</vt:lpstr>
      <vt:lpstr>Tabela Dados</vt:lpstr>
      <vt:lpstr>Simulador</vt:lpstr>
      <vt:lpstr>Planilha2</vt:lpstr>
      <vt:lpstr>Tabela de preços por Item</vt:lpstr>
      <vt:lpstr>Indenização</vt:lpstr>
      <vt:lpstr>Responsabilidades</vt:lpstr>
      <vt:lpstr>Planilha1</vt:lpstr>
      <vt:lpstr>'Tabela de preços por Item'!Area_de_impressao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Bastos</dc:creator>
  <cp:lastModifiedBy>Guilherme Bastos</cp:lastModifiedBy>
  <dcterms:created xsi:type="dcterms:W3CDTF">2021-12-28T17:58:50Z</dcterms:created>
  <dcterms:modified xsi:type="dcterms:W3CDTF">2026-08-03T18:55:28Z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0x0101008CA4ED6480079B44A39528FF45A77144</vt:lpwstr>
  </property>
  <property fmtid="{D5CDD505-2E9C-101B-9397-08002B2CF9AE}" pid="3" name="MediaServiceImageTags">
    <vt:lpwstr/>
  </property>
</Properties>
</file>